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4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430"/>
  <workbookPr showInkAnnotation="0" autoCompressPictures="0"/>
  <bookViews>
    <workbookView xWindow="0" yWindow="60" windowWidth="24120" windowHeight="16000" activeTab="5"/>
  </bookViews>
  <sheets>
    <sheet name="V.Poor" sheetId="12" r:id="rId1"/>
    <sheet name="Poor" sheetId="1" r:id="rId2"/>
    <sheet name="Middle" sheetId="7" r:id="rId3"/>
    <sheet name="Rich" sheetId="8" r:id="rId4"/>
    <sheet name="Food" sheetId="10" r:id="rId5"/>
    <sheet name="Income" sheetId="9" r:id="rId6"/>
    <sheet name="Expenditure" sheetId="11" r:id="rId7"/>
    <sheet name="Percentiles" sheetId="13" r:id="rId8"/>
  </sheets>
  <externalReferences>
    <externalReference r:id="rId9"/>
    <externalReference r:id="rId10"/>
  </externalReferences>
  <definedNames>
    <definedName name="_xlnm.Print_Area" localSheetId="2">Middle!$A$1:$M$132</definedName>
    <definedName name="_xlnm.Print_Area" localSheetId="1">Poor!$A$1:$AK$86</definedName>
    <definedName name="_xlnm.Print_Area" localSheetId="3">Rich!$A$1:$M$132</definedName>
    <definedName name="_xlnm.Print_Area" localSheetId="0">V.Poor!$A$1:$M$132</definedName>
  </definedNames>
  <calcPr calcId="140001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26" i="9" l="1"/>
  <c r="F126" i="9"/>
  <c r="G126" i="9"/>
  <c r="H126" i="9"/>
  <c r="I126" i="9"/>
  <c r="A124" i="9"/>
  <c r="F124" i="9"/>
  <c r="G124" i="9"/>
  <c r="H124" i="9"/>
  <c r="I124" i="9"/>
  <c r="A125" i="9"/>
  <c r="F125" i="9"/>
  <c r="G125" i="9"/>
  <c r="H125" i="9"/>
  <c r="I125" i="9"/>
  <c r="I123" i="9"/>
  <c r="H123" i="9"/>
  <c r="G123" i="9"/>
  <c r="F123" i="9"/>
  <c r="A123" i="9"/>
  <c r="A122" i="9"/>
  <c r="B122" i="9"/>
  <c r="C122" i="9"/>
  <c r="D122" i="9"/>
  <c r="E122" i="9"/>
  <c r="F122" i="9"/>
  <c r="G122" i="9"/>
  <c r="H122" i="9"/>
  <c r="I122" i="9"/>
  <c r="A103" i="9"/>
  <c r="A104" i="9"/>
  <c r="A105" i="9"/>
  <c r="A106" i="9"/>
  <c r="A107" i="9"/>
  <c r="A108" i="9"/>
  <c r="A109" i="9"/>
  <c r="A110" i="9"/>
  <c r="A111" i="9"/>
  <c r="A112" i="9"/>
  <c r="A113" i="9"/>
  <c r="A114" i="9"/>
  <c r="A115" i="9"/>
  <c r="A116" i="9"/>
  <c r="A117" i="9"/>
  <c r="A118" i="9"/>
  <c r="A119" i="9"/>
  <c r="A120" i="9"/>
  <c r="A121" i="9"/>
  <c r="A102" i="9"/>
  <c r="B118" i="9"/>
  <c r="C118" i="9"/>
  <c r="D118" i="9"/>
  <c r="E118" i="9"/>
  <c r="F118" i="9"/>
  <c r="G118" i="9"/>
  <c r="H118" i="9"/>
  <c r="I118" i="9"/>
  <c r="B119" i="9"/>
  <c r="C119" i="9"/>
  <c r="D119" i="9"/>
  <c r="E119" i="9"/>
  <c r="F119" i="9"/>
  <c r="G119" i="9"/>
  <c r="H119" i="9"/>
  <c r="I119" i="9"/>
  <c r="B120" i="9"/>
  <c r="C120" i="9"/>
  <c r="D120" i="9"/>
  <c r="E120" i="9"/>
  <c r="F120" i="9"/>
  <c r="G120" i="9"/>
  <c r="H120" i="9"/>
  <c r="I120" i="9"/>
  <c r="B121" i="9"/>
  <c r="C121" i="9"/>
  <c r="D121" i="9"/>
  <c r="E121" i="9"/>
  <c r="F121" i="9"/>
  <c r="G121" i="9"/>
  <c r="H121" i="9"/>
  <c r="I121" i="9"/>
  <c r="B116" i="9"/>
  <c r="C116" i="9"/>
  <c r="D116" i="9"/>
  <c r="E116" i="9"/>
  <c r="F116" i="9"/>
  <c r="G116" i="9"/>
  <c r="H116" i="9"/>
  <c r="I116" i="9"/>
  <c r="B117" i="9"/>
  <c r="C117" i="9"/>
  <c r="D117" i="9"/>
  <c r="E117" i="9"/>
  <c r="F117" i="9"/>
  <c r="G117" i="9"/>
  <c r="H117" i="9"/>
  <c r="I117" i="9"/>
  <c r="B115" i="9"/>
  <c r="C115" i="9"/>
  <c r="D115" i="9"/>
  <c r="E115" i="9"/>
  <c r="F115" i="9"/>
  <c r="G115" i="9"/>
  <c r="H115" i="9"/>
  <c r="I115" i="9"/>
  <c r="B114" i="9"/>
  <c r="C114" i="9"/>
  <c r="D114" i="9"/>
  <c r="E114" i="9"/>
  <c r="F114" i="9"/>
  <c r="G114" i="9"/>
  <c r="H114" i="9"/>
  <c r="I114" i="9"/>
  <c r="B113" i="9"/>
  <c r="C113" i="9"/>
  <c r="D113" i="9"/>
  <c r="E113" i="9"/>
  <c r="F113" i="9"/>
  <c r="G113" i="9"/>
  <c r="H113" i="9"/>
  <c r="I113" i="9"/>
  <c r="B112" i="9"/>
  <c r="C112" i="9"/>
  <c r="D112" i="9"/>
  <c r="E112" i="9"/>
  <c r="F112" i="9"/>
  <c r="G112" i="9"/>
  <c r="H112" i="9"/>
  <c r="I112" i="9"/>
  <c r="B111" i="9"/>
  <c r="C111" i="9"/>
  <c r="D111" i="9"/>
  <c r="E111" i="9"/>
  <c r="F111" i="9"/>
  <c r="G111" i="9"/>
  <c r="H111" i="9"/>
  <c r="I111" i="9"/>
  <c r="B109" i="9"/>
  <c r="C109" i="9"/>
  <c r="D109" i="9"/>
  <c r="E109" i="9"/>
  <c r="F109" i="9"/>
  <c r="G109" i="9"/>
  <c r="H109" i="9"/>
  <c r="I109" i="9"/>
  <c r="B110" i="9"/>
  <c r="C110" i="9"/>
  <c r="D110" i="9"/>
  <c r="E110" i="9"/>
  <c r="F110" i="9"/>
  <c r="G110" i="9"/>
  <c r="H110" i="9"/>
  <c r="I110" i="9"/>
  <c r="B108" i="9"/>
  <c r="C108" i="9"/>
  <c r="D108" i="9"/>
  <c r="E108" i="9"/>
  <c r="F108" i="9"/>
  <c r="G108" i="9"/>
  <c r="H108" i="9"/>
  <c r="I108" i="9"/>
  <c r="B107" i="9"/>
  <c r="C107" i="9"/>
  <c r="D107" i="9"/>
  <c r="E107" i="9"/>
  <c r="F107" i="9"/>
  <c r="G107" i="9"/>
  <c r="H107" i="9"/>
  <c r="I107" i="9"/>
  <c r="B105" i="9"/>
  <c r="C105" i="9"/>
  <c r="D105" i="9"/>
  <c r="E105" i="9"/>
  <c r="F105" i="9"/>
  <c r="G105" i="9"/>
  <c r="H105" i="9"/>
  <c r="I105" i="9"/>
  <c r="B106" i="9"/>
  <c r="C106" i="9"/>
  <c r="D106" i="9"/>
  <c r="E106" i="9"/>
  <c r="F106" i="9"/>
  <c r="G106" i="9"/>
  <c r="H106" i="9"/>
  <c r="I106" i="9"/>
  <c r="B104" i="9"/>
  <c r="C104" i="9"/>
  <c r="D104" i="9"/>
  <c r="E104" i="9"/>
  <c r="F104" i="9"/>
  <c r="G104" i="9"/>
  <c r="H104" i="9"/>
  <c r="I104" i="9"/>
  <c r="B103" i="9"/>
  <c r="C103" i="9"/>
  <c r="D103" i="9"/>
  <c r="E103" i="9"/>
  <c r="F103" i="9"/>
  <c r="G103" i="9"/>
  <c r="H103" i="9"/>
  <c r="I103" i="9"/>
  <c r="I102" i="9"/>
  <c r="H102" i="9"/>
  <c r="G102" i="9"/>
  <c r="F102" i="9"/>
  <c r="E102" i="9"/>
  <c r="D102" i="9"/>
  <c r="C102" i="9"/>
  <c r="B102" i="9"/>
  <c r="I131" i="9"/>
  <c r="H131" i="9"/>
  <c r="G131" i="9"/>
  <c r="F131" i="9"/>
  <c r="E131" i="9"/>
  <c r="D131" i="9"/>
  <c r="C131" i="9"/>
  <c r="B131" i="9"/>
  <c r="I130" i="9"/>
  <c r="H130" i="9"/>
  <c r="G130" i="9"/>
  <c r="F130" i="9"/>
  <c r="E130" i="9"/>
  <c r="D130" i="9"/>
  <c r="C130" i="9"/>
  <c r="B130" i="9"/>
  <c r="I129" i="9"/>
  <c r="H129" i="9"/>
  <c r="G129" i="9"/>
  <c r="F129" i="9"/>
  <c r="E129" i="9"/>
  <c r="D129" i="9"/>
  <c r="C129" i="9"/>
  <c r="B129" i="9"/>
  <c r="I128" i="9"/>
  <c r="H128" i="9"/>
  <c r="G128" i="9"/>
  <c r="F128" i="9"/>
  <c r="E128" i="9"/>
  <c r="D128" i="9"/>
  <c r="C128" i="9"/>
  <c r="B128" i="9"/>
  <c r="T56" i="8"/>
  <c r="S56" i="8"/>
  <c r="R56" i="8"/>
  <c r="T55" i="8"/>
  <c r="S55" i="8"/>
  <c r="R55" i="8"/>
  <c r="T54" i="8"/>
  <c r="S54" i="8"/>
  <c r="R54" i="8"/>
  <c r="T37" i="8"/>
  <c r="T38" i="8"/>
  <c r="T39" i="8"/>
  <c r="T40" i="8"/>
  <c r="T41" i="8"/>
  <c r="T42" i="8"/>
  <c r="T43" i="8"/>
  <c r="T44" i="8"/>
  <c r="T45" i="8"/>
  <c r="T46" i="8"/>
  <c r="T47" i="8"/>
  <c r="T48" i="8"/>
  <c r="T49" i="8"/>
  <c r="T50" i="8"/>
  <c r="T51" i="8"/>
  <c r="T52" i="8"/>
  <c r="T53" i="8"/>
  <c r="S37" i="8"/>
  <c r="S38" i="8"/>
  <c r="S39" i="8"/>
  <c r="S40" i="8"/>
  <c r="S41" i="8"/>
  <c r="S42" i="8"/>
  <c r="S43" i="8"/>
  <c r="S44" i="8"/>
  <c r="S45" i="8"/>
  <c r="S46" i="8"/>
  <c r="S47" i="8"/>
  <c r="S48" i="8"/>
  <c r="S49" i="8"/>
  <c r="S50" i="8"/>
  <c r="S51" i="8"/>
  <c r="S52" i="8"/>
  <c r="S53" i="8"/>
  <c r="R37" i="8"/>
  <c r="R38" i="8"/>
  <c r="R39" i="8"/>
  <c r="R40" i="8"/>
  <c r="R41" i="8"/>
  <c r="R42" i="8"/>
  <c r="R43" i="8"/>
  <c r="R44" i="8"/>
  <c r="R45" i="8"/>
  <c r="R46" i="8"/>
  <c r="R47" i="8"/>
  <c r="R48" i="8"/>
  <c r="R49" i="8"/>
  <c r="R50" i="8"/>
  <c r="R51" i="8"/>
  <c r="R52" i="8"/>
  <c r="R53" i="8"/>
  <c r="T56" i="7"/>
  <c r="S56" i="7"/>
  <c r="R56" i="7"/>
  <c r="T55" i="7"/>
  <c r="S55" i="7"/>
  <c r="R55" i="7"/>
  <c r="T54" i="7"/>
  <c r="S54" i="7"/>
  <c r="R54" i="7"/>
  <c r="T37" i="7"/>
  <c r="T38" i="7"/>
  <c r="T39" i="7"/>
  <c r="T40" i="7"/>
  <c r="T41" i="7"/>
  <c r="T42" i="7"/>
  <c r="T43" i="7"/>
  <c r="T44" i="7"/>
  <c r="T45" i="7"/>
  <c r="T46" i="7"/>
  <c r="T47" i="7"/>
  <c r="T48" i="7"/>
  <c r="T49" i="7"/>
  <c r="T50" i="7"/>
  <c r="T51" i="7"/>
  <c r="T52" i="7"/>
  <c r="T53" i="7"/>
  <c r="S37" i="7"/>
  <c r="S38" i="7"/>
  <c r="S39" i="7"/>
  <c r="S40" i="7"/>
  <c r="S41" i="7"/>
  <c r="S42" i="7"/>
  <c r="S43" i="7"/>
  <c r="S44" i="7"/>
  <c r="S45" i="7"/>
  <c r="S46" i="7"/>
  <c r="S47" i="7"/>
  <c r="S48" i="7"/>
  <c r="S49" i="7"/>
  <c r="S50" i="7"/>
  <c r="S51" i="7"/>
  <c r="S52" i="7"/>
  <c r="S53" i="7"/>
  <c r="R37" i="7"/>
  <c r="R38" i="7"/>
  <c r="R39" i="7"/>
  <c r="R40" i="7"/>
  <c r="R41" i="7"/>
  <c r="R42" i="7"/>
  <c r="R43" i="7"/>
  <c r="R44" i="7"/>
  <c r="R45" i="7"/>
  <c r="R46" i="7"/>
  <c r="R47" i="7"/>
  <c r="R48" i="7"/>
  <c r="R49" i="7"/>
  <c r="R50" i="7"/>
  <c r="R51" i="7"/>
  <c r="R52" i="7"/>
  <c r="R53" i="7"/>
  <c r="T56" i="1"/>
  <c r="S56" i="1"/>
  <c r="R56" i="1"/>
  <c r="T55" i="1"/>
  <c r="S55" i="1"/>
  <c r="R55" i="1"/>
  <c r="T54" i="1"/>
  <c r="S54" i="1"/>
  <c r="R54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T56" i="12"/>
  <c r="S56" i="12"/>
  <c r="R56" i="12"/>
  <c r="T55" i="12"/>
  <c r="S55" i="12"/>
  <c r="R55" i="12"/>
  <c r="T54" i="12"/>
  <c r="S54" i="12"/>
  <c r="R54" i="12"/>
  <c r="T37" i="12"/>
  <c r="T38" i="12"/>
  <c r="T39" i="12"/>
  <c r="T40" i="12"/>
  <c r="T41" i="12"/>
  <c r="T42" i="12"/>
  <c r="T43" i="12"/>
  <c r="T44" i="12"/>
  <c r="T45" i="12"/>
  <c r="T46" i="12"/>
  <c r="T47" i="12"/>
  <c r="T48" i="12"/>
  <c r="T49" i="12"/>
  <c r="T50" i="12"/>
  <c r="T51" i="12"/>
  <c r="T52" i="12"/>
  <c r="T53" i="12"/>
  <c r="S37" i="12"/>
  <c r="S38" i="12"/>
  <c r="S39" i="12"/>
  <c r="S40" i="12"/>
  <c r="S41" i="12"/>
  <c r="S42" i="12"/>
  <c r="S43" i="12"/>
  <c r="S44" i="12"/>
  <c r="S45" i="12"/>
  <c r="S46" i="12"/>
  <c r="S47" i="12"/>
  <c r="S48" i="12"/>
  <c r="S49" i="12"/>
  <c r="S50" i="12"/>
  <c r="S51" i="12"/>
  <c r="S52" i="12"/>
  <c r="S53" i="12"/>
  <c r="R37" i="12"/>
  <c r="R38" i="12"/>
  <c r="R39" i="12"/>
  <c r="R40" i="12"/>
  <c r="R41" i="12"/>
  <c r="R42" i="12"/>
  <c r="R43" i="12"/>
  <c r="R44" i="12"/>
  <c r="R45" i="12"/>
  <c r="R46" i="12"/>
  <c r="R47" i="12"/>
  <c r="R48" i="12"/>
  <c r="R49" i="12"/>
  <c r="R50" i="12"/>
  <c r="R51" i="12"/>
  <c r="R52" i="12"/>
  <c r="R53" i="12"/>
  <c r="E43" i="1"/>
  <c r="E42" i="1"/>
  <c r="E41" i="1"/>
  <c r="B6" i="7"/>
  <c r="C6" i="7"/>
  <c r="D6" i="7"/>
  <c r="E6" i="7"/>
  <c r="H6" i="7"/>
  <c r="I6" i="7"/>
  <c r="B7" i="7"/>
  <c r="C7" i="7"/>
  <c r="D7" i="7"/>
  <c r="E7" i="7"/>
  <c r="H7" i="7"/>
  <c r="I7" i="7"/>
  <c r="B8" i="7"/>
  <c r="C8" i="7"/>
  <c r="D8" i="7"/>
  <c r="E8" i="7"/>
  <c r="H8" i="7"/>
  <c r="I8" i="7"/>
  <c r="B9" i="7"/>
  <c r="C9" i="7"/>
  <c r="D9" i="7"/>
  <c r="E9" i="7"/>
  <c r="H9" i="7"/>
  <c r="I9" i="7"/>
  <c r="B10" i="7"/>
  <c r="C10" i="7"/>
  <c r="D10" i="7"/>
  <c r="E10" i="7"/>
  <c r="H10" i="7"/>
  <c r="I10" i="7"/>
  <c r="B11" i="7"/>
  <c r="C11" i="7"/>
  <c r="D11" i="7"/>
  <c r="I11" i="7"/>
  <c r="B12" i="7"/>
  <c r="C12" i="7"/>
  <c r="D12" i="7"/>
  <c r="I12" i="7"/>
  <c r="B13" i="7"/>
  <c r="C13" i="7"/>
  <c r="D13" i="7"/>
  <c r="I13" i="7"/>
  <c r="B14" i="7"/>
  <c r="C14" i="7"/>
  <c r="D14" i="7"/>
  <c r="I14" i="7"/>
  <c r="B15" i="7"/>
  <c r="C15" i="7"/>
  <c r="D15" i="7"/>
  <c r="I15" i="7"/>
  <c r="B16" i="7"/>
  <c r="C16" i="7"/>
  <c r="D16" i="7"/>
  <c r="I16" i="7"/>
  <c r="B17" i="7"/>
  <c r="C17" i="7"/>
  <c r="D17" i="7"/>
  <c r="I17" i="7"/>
  <c r="B18" i="7"/>
  <c r="C18" i="7"/>
  <c r="D18" i="7"/>
  <c r="I18" i="7"/>
  <c r="B19" i="7"/>
  <c r="C19" i="7"/>
  <c r="D19" i="7"/>
  <c r="I19" i="7"/>
  <c r="B20" i="7"/>
  <c r="C20" i="7"/>
  <c r="D20" i="7"/>
  <c r="I20" i="7"/>
  <c r="B21" i="7"/>
  <c r="C21" i="7"/>
  <c r="D21" i="7"/>
  <c r="I21" i="7"/>
  <c r="B22" i="7"/>
  <c r="C22" i="7"/>
  <c r="D22" i="7"/>
  <c r="I22" i="7"/>
  <c r="B23" i="7"/>
  <c r="C23" i="7"/>
  <c r="D23" i="7"/>
  <c r="I23" i="7"/>
  <c r="B24" i="7"/>
  <c r="C24" i="7"/>
  <c r="D24" i="7"/>
  <c r="I24" i="7"/>
  <c r="B25" i="7"/>
  <c r="C25" i="7"/>
  <c r="D25" i="7"/>
  <c r="I25" i="7"/>
  <c r="B26" i="7"/>
  <c r="C26" i="7"/>
  <c r="D26" i="7"/>
  <c r="I26" i="7"/>
  <c r="B27" i="7"/>
  <c r="C27" i="7"/>
  <c r="D27" i="7"/>
  <c r="I27" i="7"/>
  <c r="B28" i="7"/>
  <c r="C28" i="7"/>
  <c r="D28" i="7"/>
  <c r="I28" i="7"/>
  <c r="B29" i="7"/>
  <c r="C29" i="7"/>
  <c r="D29" i="7"/>
  <c r="I29" i="7"/>
  <c r="B37" i="7"/>
  <c r="B80" i="7"/>
  <c r="B82" i="7"/>
  <c r="B81" i="7"/>
  <c r="B83" i="7"/>
  <c r="B91" i="7"/>
  <c r="C37" i="7"/>
  <c r="C91" i="7"/>
  <c r="D91" i="7"/>
  <c r="E37" i="7"/>
  <c r="F37" i="7"/>
  <c r="G37" i="7"/>
  <c r="H91" i="7"/>
  <c r="I91" i="7"/>
  <c r="B38" i="7"/>
  <c r="B92" i="7"/>
  <c r="C38" i="7"/>
  <c r="C92" i="7"/>
  <c r="D92" i="7"/>
  <c r="E38" i="7"/>
  <c r="G38" i="1"/>
  <c r="G38" i="7"/>
  <c r="F38" i="7"/>
  <c r="H92" i="7"/>
  <c r="I92" i="7"/>
  <c r="B39" i="7"/>
  <c r="B93" i="7"/>
  <c r="C39" i="7"/>
  <c r="C93" i="7"/>
  <c r="D93" i="7"/>
  <c r="E39" i="7"/>
  <c r="G39" i="1"/>
  <c r="G39" i="7"/>
  <c r="F39" i="7"/>
  <c r="H93" i="7"/>
  <c r="I93" i="7"/>
  <c r="B40" i="7"/>
  <c r="B94" i="7"/>
  <c r="C40" i="7"/>
  <c r="C94" i="7"/>
  <c r="D94" i="7"/>
  <c r="G40" i="1"/>
  <c r="G40" i="7"/>
  <c r="F40" i="7"/>
  <c r="E40" i="7"/>
  <c r="H94" i="7"/>
  <c r="I94" i="7"/>
  <c r="B41" i="7"/>
  <c r="B95" i="7"/>
  <c r="C41" i="7"/>
  <c r="C95" i="7"/>
  <c r="D95" i="7"/>
  <c r="G41" i="1"/>
  <c r="G41" i="7"/>
  <c r="E41" i="7"/>
  <c r="F41" i="7"/>
  <c r="H95" i="7"/>
  <c r="I95" i="7"/>
  <c r="B42" i="7"/>
  <c r="B96" i="7"/>
  <c r="C42" i="7"/>
  <c r="C96" i="7"/>
  <c r="D96" i="7"/>
  <c r="G42" i="1"/>
  <c r="G42" i="7"/>
  <c r="E42" i="7"/>
  <c r="F42" i="7"/>
  <c r="H96" i="7"/>
  <c r="I96" i="7"/>
  <c r="B43" i="7"/>
  <c r="B97" i="7"/>
  <c r="C43" i="7"/>
  <c r="C97" i="7"/>
  <c r="D97" i="7"/>
  <c r="G43" i="1"/>
  <c r="G43" i="7"/>
  <c r="E43" i="7"/>
  <c r="F43" i="7"/>
  <c r="H97" i="7"/>
  <c r="I97" i="7"/>
  <c r="B44" i="7"/>
  <c r="B98" i="7"/>
  <c r="C44" i="7"/>
  <c r="C98" i="7"/>
  <c r="D98" i="7"/>
  <c r="G44" i="1"/>
  <c r="G44" i="7"/>
  <c r="E44" i="7"/>
  <c r="F44" i="7"/>
  <c r="H98" i="7"/>
  <c r="I98" i="7"/>
  <c r="B45" i="7"/>
  <c r="B99" i="7"/>
  <c r="C45" i="7"/>
  <c r="C99" i="7"/>
  <c r="D99" i="7"/>
  <c r="G45" i="1"/>
  <c r="G45" i="7"/>
  <c r="E45" i="7"/>
  <c r="F45" i="7"/>
  <c r="H99" i="7"/>
  <c r="I99" i="7"/>
  <c r="B46" i="7"/>
  <c r="B100" i="7"/>
  <c r="C46" i="7"/>
  <c r="C100" i="7"/>
  <c r="D100" i="7"/>
  <c r="G46" i="1"/>
  <c r="G46" i="7"/>
  <c r="E46" i="7"/>
  <c r="F46" i="7"/>
  <c r="H100" i="7"/>
  <c r="I100" i="7"/>
  <c r="B47" i="7"/>
  <c r="B101" i="7"/>
  <c r="C47" i="7"/>
  <c r="C101" i="7"/>
  <c r="D101" i="7"/>
  <c r="E47" i="7"/>
  <c r="G47" i="1"/>
  <c r="G47" i="7"/>
  <c r="F47" i="7"/>
  <c r="H101" i="7"/>
  <c r="I101" i="7"/>
  <c r="B48" i="7"/>
  <c r="B102" i="7"/>
  <c r="C48" i="7"/>
  <c r="C102" i="7"/>
  <c r="D102" i="7"/>
  <c r="E48" i="7"/>
  <c r="G48" i="1"/>
  <c r="G48" i="7"/>
  <c r="F48" i="7"/>
  <c r="H102" i="7"/>
  <c r="I102" i="7"/>
  <c r="B49" i="7"/>
  <c r="B103" i="7"/>
  <c r="C49" i="7"/>
  <c r="C103" i="7"/>
  <c r="D103" i="7"/>
  <c r="G49" i="1"/>
  <c r="G49" i="7"/>
  <c r="F49" i="7"/>
  <c r="E49" i="7"/>
  <c r="H103" i="7"/>
  <c r="I103" i="7"/>
  <c r="B50" i="7"/>
  <c r="B104" i="7"/>
  <c r="C50" i="7"/>
  <c r="C104" i="7"/>
  <c r="D104" i="7"/>
  <c r="G50" i="1"/>
  <c r="G50" i="7"/>
  <c r="F50" i="7"/>
  <c r="H104" i="7"/>
  <c r="I104" i="7"/>
  <c r="B51" i="7"/>
  <c r="B105" i="7"/>
  <c r="C51" i="7"/>
  <c r="C105" i="7"/>
  <c r="D105" i="7"/>
  <c r="G51" i="1"/>
  <c r="G51" i="7"/>
  <c r="H105" i="7"/>
  <c r="I105" i="7"/>
  <c r="B52" i="7"/>
  <c r="B106" i="7"/>
  <c r="C52" i="7"/>
  <c r="C106" i="7"/>
  <c r="D106" i="7"/>
  <c r="G52" i="1"/>
  <c r="G52" i="7"/>
  <c r="F52" i="7"/>
  <c r="H106" i="7"/>
  <c r="I106" i="7"/>
  <c r="B53" i="7"/>
  <c r="B107" i="7"/>
  <c r="C53" i="7"/>
  <c r="C107" i="7"/>
  <c r="D107" i="7"/>
  <c r="G53" i="1"/>
  <c r="G53" i="7"/>
  <c r="H107" i="7"/>
  <c r="I107" i="7"/>
  <c r="B54" i="7"/>
  <c r="B108" i="7"/>
  <c r="C54" i="7"/>
  <c r="C108" i="7"/>
  <c r="D108" i="7"/>
  <c r="G54" i="1"/>
  <c r="G54" i="7"/>
  <c r="H108" i="7"/>
  <c r="I108" i="7"/>
  <c r="B55" i="7"/>
  <c r="B109" i="7"/>
  <c r="C55" i="7"/>
  <c r="C109" i="7"/>
  <c r="D109" i="7"/>
  <c r="G55" i="1"/>
  <c r="G55" i="7"/>
  <c r="H109" i="7"/>
  <c r="I109" i="7"/>
  <c r="B56" i="7"/>
  <c r="B110" i="7"/>
  <c r="C56" i="7"/>
  <c r="C110" i="7"/>
  <c r="D110" i="7"/>
  <c r="G56" i="1"/>
  <c r="G56" i="7"/>
  <c r="H110" i="7"/>
  <c r="I110" i="7"/>
  <c r="B57" i="7"/>
  <c r="B111" i="7"/>
  <c r="C57" i="7"/>
  <c r="C111" i="7"/>
  <c r="D111" i="7"/>
  <c r="G57" i="1"/>
  <c r="G57" i="7"/>
  <c r="H111" i="7"/>
  <c r="I111" i="7"/>
  <c r="B58" i="7"/>
  <c r="B112" i="7"/>
  <c r="C58" i="7"/>
  <c r="C112" i="7"/>
  <c r="D112" i="7"/>
  <c r="G58" i="1"/>
  <c r="G58" i="7"/>
  <c r="H112" i="7"/>
  <c r="I112" i="7"/>
  <c r="B59" i="7"/>
  <c r="B113" i="7"/>
  <c r="C59" i="7"/>
  <c r="C113" i="7"/>
  <c r="D113" i="7"/>
  <c r="G59" i="1"/>
  <c r="G59" i="7"/>
  <c r="H113" i="7"/>
  <c r="I113" i="7"/>
  <c r="B60" i="7"/>
  <c r="B114" i="7"/>
  <c r="C60" i="7"/>
  <c r="C114" i="7"/>
  <c r="D114" i="7"/>
  <c r="G60" i="1"/>
  <c r="G60" i="7"/>
  <c r="H114" i="7"/>
  <c r="I114" i="7"/>
  <c r="B61" i="7"/>
  <c r="B115" i="7"/>
  <c r="C61" i="7"/>
  <c r="C115" i="7"/>
  <c r="D115" i="7"/>
  <c r="G61" i="1"/>
  <c r="G61" i="7"/>
  <c r="H115" i="7"/>
  <c r="I115" i="7"/>
  <c r="B62" i="7"/>
  <c r="B116" i="7"/>
  <c r="C62" i="7"/>
  <c r="C116" i="7"/>
  <c r="D116" i="7"/>
  <c r="G62" i="1"/>
  <c r="G62" i="7"/>
  <c r="H116" i="7"/>
  <c r="I116" i="7"/>
  <c r="B63" i="7"/>
  <c r="B117" i="7"/>
  <c r="C63" i="7"/>
  <c r="C117" i="7"/>
  <c r="D117" i="7"/>
  <c r="G63" i="1"/>
  <c r="G63" i="7"/>
  <c r="H117" i="7"/>
  <c r="I117" i="7"/>
  <c r="B64" i="7"/>
  <c r="B118" i="7"/>
  <c r="C64" i="7"/>
  <c r="C118" i="7"/>
  <c r="D118" i="7"/>
  <c r="G64" i="1"/>
  <c r="G64" i="7"/>
  <c r="H118" i="7"/>
  <c r="I118" i="7"/>
  <c r="I119" i="7"/>
  <c r="B70" i="7"/>
  <c r="B124" i="7"/>
  <c r="F70" i="7"/>
  <c r="H124" i="7"/>
  <c r="I124" i="7"/>
  <c r="I30" i="7"/>
  <c r="I32" i="7"/>
  <c r="B71" i="7"/>
  <c r="B125" i="7"/>
  <c r="I128" i="7"/>
  <c r="F71" i="7"/>
  <c r="H125" i="7"/>
  <c r="I131" i="7"/>
  <c r="B73" i="7"/>
  <c r="B127" i="7"/>
  <c r="K127" i="7"/>
  <c r="K6" i="7"/>
  <c r="L6" i="7"/>
  <c r="K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7" i="7"/>
  <c r="L17" i="7"/>
  <c r="K18" i="7"/>
  <c r="L18" i="7"/>
  <c r="K19" i="7"/>
  <c r="L19" i="7"/>
  <c r="K20" i="7"/>
  <c r="L20" i="7"/>
  <c r="K21" i="7"/>
  <c r="L21" i="7"/>
  <c r="K22" i="7"/>
  <c r="L22" i="7"/>
  <c r="K23" i="7"/>
  <c r="L23" i="7"/>
  <c r="K24" i="7"/>
  <c r="L24" i="7"/>
  <c r="K25" i="7"/>
  <c r="L25" i="7"/>
  <c r="K26" i="7"/>
  <c r="L26" i="7"/>
  <c r="K27" i="7"/>
  <c r="L27" i="7"/>
  <c r="K28" i="7"/>
  <c r="L28" i="7"/>
  <c r="K29" i="7"/>
  <c r="L29" i="7"/>
  <c r="K91" i="7"/>
  <c r="L91" i="7"/>
  <c r="K92" i="7"/>
  <c r="L92" i="7"/>
  <c r="K93" i="7"/>
  <c r="L93" i="7"/>
  <c r="K94" i="7"/>
  <c r="L94" i="7"/>
  <c r="K95" i="7"/>
  <c r="L95" i="7"/>
  <c r="K96" i="7"/>
  <c r="L96" i="7"/>
  <c r="K97" i="7"/>
  <c r="L97" i="7"/>
  <c r="K98" i="7"/>
  <c r="L98" i="7"/>
  <c r="K99" i="7"/>
  <c r="L99" i="7"/>
  <c r="K100" i="7"/>
  <c r="L100" i="7"/>
  <c r="K101" i="7"/>
  <c r="L101" i="7"/>
  <c r="K102" i="7"/>
  <c r="L102" i="7"/>
  <c r="K103" i="7"/>
  <c r="L103" i="7"/>
  <c r="K104" i="7"/>
  <c r="L104" i="7"/>
  <c r="K105" i="7"/>
  <c r="L105" i="7"/>
  <c r="K106" i="7"/>
  <c r="L106" i="7"/>
  <c r="K107" i="7"/>
  <c r="L107" i="7"/>
  <c r="K108" i="7"/>
  <c r="L108" i="7"/>
  <c r="K109" i="7"/>
  <c r="L109" i="7"/>
  <c r="K110" i="7"/>
  <c r="L110" i="7"/>
  <c r="K111" i="7"/>
  <c r="L111" i="7"/>
  <c r="K112" i="7"/>
  <c r="L112" i="7"/>
  <c r="K113" i="7"/>
  <c r="L113" i="7"/>
  <c r="K114" i="7"/>
  <c r="L114" i="7"/>
  <c r="K115" i="7"/>
  <c r="L115" i="7"/>
  <c r="K116" i="7"/>
  <c r="L116" i="7"/>
  <c r="K117" i="7"/>
  <c r="L117" i="7"/>
  <c r="K118" i="7"/>
  <c r="L118" i="7"/>
  <c r="L119" i="7"/>
  <c r="L124" i="7"/>
  <c r="B30" i="7"/>
  <c r="K30" i="7"/>
  <c r="B119" i="7"/>
  <c r="L30" i="7"/>
  <c r="L32" i="7"/>
  <c r="B72" i="7"/>
  <c r="B126" i="7"/>
  <c r="B128" i="7"/>
  <c r="K128" i="7"/>
  <c r="L128" i="7"/>
  <c r="F72" i="7"/>
  <c r="H126" i="7"/>
  <c r="F73" i="7"/>
  <c r="H127" i="7"/>
  <c r="L127" i="7"/>
  <c r="J33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B6" i="1"/>
  <c r="C6" i="1"/>
  <c r="D6" i="1"/>
  <c r="F7" i="1"/>
  <c r="H6" i="1"/>
  <c r="I6" i="1"/>
  <c r="B7" i="1"/>
  <c r="C7" i="1"/>
  <c r="D7" i="1"/>
  <c r="H7" i="1"/>
  <c r="I7" i="1"/>
  <c r="B8" i="1"/>
  <c r="C8" i="1"/>
  <c r="D8" i="1"/>
  <c r="H8" i="1"/>
  <c r="I8" i="1"/>
  <c r="B9" i="1"/>
  <c r="C9" i="1"/>
  <c r="D9" i="1"/>
  <c r="H9" i="1"/>
  <c r="I9" i="1"/>
  <c r="B10" i="1"/>
  <c r="C10" i="1"/>
  <c r="D10" i="1"/>
  <c r="H10" i="1"/>
  <c r="I10" i="1"/>
  <c r="B11" i="1"/>
  <c r="C11" i="1"/>
  <c r="D11" i="1"/>
  <c r="H11" i="1"/>
  <c r="I11" i="1"/>
  <c r="B12" i="1"/>
  <c r="C12" i="1"/>
  <c r="D12" i="1"/>
  <c r="H12" i="1"/>
  <c r="I12" i="1"/>
  <c r="B13" i="1"/>
  <c r="C13" i="1"/>
  <c r="D13" i="1"/>
  <c r="H13" i="1"/>
  <c r="I13" i="1"/>
  <c r="B14" i="1"/>
  <c r="C14" i="1"/>
  <c r="D14" i="1"/>
  <c r="H14" i="1"/>
  <c r="I14" i="1"/>
  <c r="B15" i="1"/>
  <c r="C15" i="1"/>
  <c r="D15" i="1"/>
  <c r="H15" i="1"/>
  <c r="I15" i="1"/>
  <c r="B16" i="1"/>
  <c r="C16" i="1"/>
  <c r="D16" i="1"/>
  <c r="H16" i="1"/>
  <c r="I16" i="1"/>
  <c r="B17" i="1"/>
  <c r="C17" i="1"/>
  <c r="D17" i="1"/>
  <c r="H17" i="1"/>
  <c r="I17" i="1"/>
  <c r="B18" i="1"/>
  <c r="C18" i="1"/>
  <c r="D18" i="1"/>
  <c r="H18" i="1"/>
  <c r="I18" i="1"/>
  <c r="B19" i="1"/>
  <c r="C19" i="1"/>
  <c r="D19" i="1"/>
  <c r="H19" i="1"/>
  <c r="I19" i="1"/>
  <c r="B20" i="1"/>
  <c r="C20" i="1"/>
  <c r="D20" i="1"/>
  <c r="H20" i="1"/>
  <c r="I20" i="1"/>
  <c r="B21" i="1"/>
  <c r="C21" i="1"/>
  <c r="D21" i="1"/>
  <c r="H21" i="1"/>
  <c r="I21" i="1"/>
  <c r="B22" i="1"/>
  <c r="C22" i="1"/>
  <c r="D22" i="1"/>
  <c r="H22" i="1"/>
  <c r="I22" i="1"/>
  <c r="B23" i="1"/>
  <c r="C23" i="1"/>
  <c r="D23" i="1"/>
  <c r="H23" i="1"/>
  <c r="I23" i="1"/>
  <c r="B24" i="1"/>
  <c r="C24" i="1"/>
  <c r="D24" i="1"/>
  <c r="H24" i="1"/>
  <c r="I24" i="1"/>
  <c r="B25" i="1"/>
  <c r="C25" i="1"/>
  <c r="D25" i="1"/>
  <c r="H25" i="1"/>
  <c r="I25" i="1"/>
  <c r="B26" i="1"/>
  <c r="C26" i="1"/>
  <c r="D26" i="1"/>
  <c r="H26" i="1"/>
  <c r="I26" i="1"/>
  <c r="B27" i="1"/>
  <c r="C27" i="1"/>
  <c r="D27" i="1"/>
  <c r="H27" i="1"/>
  <c r="I27" i="1"/>
  <c r="B28" i="1"/>
  <c r="C28" i="1"/>
  <c r="D28" i="1"/>
  <c r="H28" i="1"/>
  <c r="I28" i="1"/>
  <c r="B29" i="1"/>
  <c r="C29" i="1"/>
  <c r="D29" i="1"/>
  <c r="H29" i="1"/>
  <c r="I29" i="1"/>
  <c r="B37" i="1"/>
  <c r="B80" i="1"/>
  <c r="B82" i="1"/>
  <c r="B81" i="1"/>
  <c r="B83" i="1"/>
  <c r="B91" i="1"/>
  <c r="C37" i="1"/>
  <c r="C91" i="1"/>
  <c r="D91" i="1"/>
  <c r="H91" i="1"/>
  <c r="I91" i="1"/>
  <c r="B38" i="1"/>
  <c r="B92" i="1"/>
  <c r="C38" i="1"/>
  <c r="C92" i="1"/>
  <c r="D92" i="1"/>
  <c r="H92" i="1"/>
  <c r="I92" i="1"/>
  <c r="B39" i="1"/>
  <c r="B93" i="1"/>
  <c r="C39" i="1"/>
  <c r="C93" i="1"/>
  <c r="D93" i="1"/>
  <c r="H93" i="1"/>
  <c r="I93" i="1"/>
  <c r="B40" i="1"/>
  <c r="B94" i="1"/>
  <c r="C40" i="1"/>
  <c r="C94" i="1"/>
  <c r="D94" i="1"/>
  <c r="H94" i="1"/>
  <c r="I94" i="1"/>
  <c r="B41" i="1"/>
  <c r="B95" i="1"/>
  <c r="C41" i="1"/>
  <c r="C95" i="1"/>
  <c r="D95" i="1"/>
  <c r="H95" i="1"/>
  <c r="I95" i="1"/>
  <c r="B42" i="1"/>
  <c r="B96" i="1"/>
  <c r="C42" i="1"/>
  <c r="C96" i="1"/>
  <c r="D96" i="1"/>
  <c r="H96" i="1"/>
  <c r="I96" i="1"/>
  <c r="B43" i="1"/>
  <c r="B97" i="1"/>
  <c r="C43" i="1"/>
  <c r="C97" i="1"/>
  <c r="D97" i="1"/>
  <c r="H97" i="1"/>
  <c r="I97" i="1"/>
  <c r="B44" i="1"/>
  <c r="B98" i="1"/>
  <c r="C44" i="1"/>
  <c r="C98" i="1"/>
  <c r="D98" i="1"/>
  <c r="H98" i="1"/>
  <c r="I98" i="1"/>
  <c r="B45" i="1"/>
  <c r="B99" i="1"/>
  <c r="C45" i="1"/>
  <c r="C99" i="1"/>
  <c r="D99" i="1"/>
  <c r="H99" i="1"/>
  <c r="I99" i="1"/>
  <c r="B46" i="1"/>
  <c r="B100" i="1"/>
  <c r="C46" i="1"/>
  <c r="C100" i="1"/>
  <c r="D100" i="1"/>
  <c r="H100" i="1"/>
  <c r="I100" i="1"/>
  <c r="B47" i="1"/>
  <c r="B101" i="1"/>
  <c r="C47" i="1"/>
  <c r="C101" i="1"/>
  <c r="D101" i="1"/>
  <c r="H101" i="1"/>
  <c r="I101" i="1"/>
  <c r="B48" i="1"/>
  <c r="B102" i="1"/>
  <c r="C48" i="1"/>
  <c r="C102" i="1"/>
  <c r="D102" i="1"/>
  <c r="H102" i="1"/>
  <c r="I102" i="1"/>
  <c r="B49" i="1"/>
  <c r="B103" i="1"/>
  <c r="C49" i="1"/>
  <c r="C103" i="1"/>
  <c r="D103" i="1"/>
  <c r="H103" i="1"/>
  <c r="I103" i="1"/>
  <c r="B50" i="1"/>
  <c r="B104" i="1"/>
  <c r="C50" i="1"/>
  <c r="C104" i="1"/>
  <c r="D104" i="1"/>
  <c r="H104" i="1"/>
  <c r="I104" i="1"/>
  <c r="B51" i="1"/>
  <c r="B105" i="1"/>
  <c r="C51" i="1"/>
  <c r="C105" i="1"/>
  <c r="D105" i="1"/>
  <c r="H105" i="1"/>
  <c r="I105" i="1"/>
  <c r="B52" i="1"/>
  <c r="B106" i="1"/>
  <c r="C52" i="1"/>
  <c r="C106" i="1"/>
  <c r="D106" i="1"/>
  <c r="H106" i="1"/>
  <c r="I106" i="1"/>
  <c r="B53" i="1"/>
  <c r="B107" i="1"/>
  <c r="C53" i="1"/>
  <c r="C107" i="1"/>
  <c r="D107" i="1"/>
  <c r="H107" i="1"/>
  <c r="I107" i="1"/>
  <c r="B54" i="1"/>
  <c r="B108" i="1"/>
  <c r="C54" i="1"/>
  <c r="C108" i="1"/>
  <c r="D108" i="1"/>
  <c r="H108" i="1"/>
  <c r="I108" i="1"/>
  <c r="B55" i="1"/>
  <c r="B109" i="1"/>
  <c r="C55" i="1"/>
  <c r="C109" i="1"/>
  <c r="D109" i="1"/>
  <c r="H109" i="1"/>
  <c r="I109" i="1"/>
  <c r="B56" i="1"/>
  <c r="B110" i="1"/>
  <c r="C56" i="1"/>
  <c r="C110" i="1"/>
  <c r="D110" i="1"/>
  <c r="H110" i="1"/>
  <c r="I110" i="1"/>
  <c r="B57" i="1"/>
  <c r="B111" i="1"/>
  <c r="C57" i="1"/>
  <c r="C111" i="1"/>
  <c r="D111" i="1"/>
  <c r="H111" i="1"/>
  <c r="I111" i="1"/>
  <c r="B58" i="1"/>
  <c r="B112" i="1"/>
  <c r="C58" i="1"/>
  <c r="C112" i="1"/>
  <c r="D112" i="1"/>
  <c r="H112" i="1"/>
  <c r="I112" i="1"/>
  <c r="B59" i="1"/>
  <c r="B113" i="1"/>
  <c r="C59" i="1"/>
  <c r="C113" i="1"/>
  <c r="D113" i="1"/>
  <c r="H113" i="1"/>
  <c r="I113" i="1"/>
  <c r="B60" i="1"/>
  <c r="B114" i="1"/>
  <c r="C60" i="1"/>
  <c r="C114" i="1"/>
  <c r="D114" i="1"/>
  <c r="H114" i="1"/>
  <c r="I114" i="1"/>
  <c r="B61" i="1"/>
  <c r="B115" i="1"/>
  <c r="C61" i="1"/>
  <c r="C115" i="1"/>
  <c r="D115" i="1"/>
  <c r="H115" i="1"/>
  <c r="I115" i="1"/>
  <c r="B62" i="1"/>
  <c r="B116" i="1"/>
  <c r="C62" i="1"/>
  <c r="C116" i="1"/>
  <c r="D116" i="1"/>
  <c r="H116" i="1"/>
  <c r="I116" i="1"/>
  <c r="B63" i="1"/>
  <c r="B117" i="1"/>
  <c r="C63" i="1"/>
  <c r="C117" i="1"/>
  <c r="D117" i="1"/>
  <c r="H117" i="1"/>
  <c r="I117" i="1"/>
  <c r="B64" i="1"/>
  <c r="B118" i="1"/>
  <c r="C64" i="1"/>
  <c r="C118" i="1"/>
  <c r="D118" i="1"/>
  <c r="H118" i="1"/>
  <c r="I118" i="1"/>
  <c r="I119" i="1"/>
  <c r="B70" i="1"/>
  <c r="B124" i="1"/>
  <c r="H124" i="1"/>
  <c r="I124" i="1"/>
  <c r="I30" i="1"/>
  <c r="I32" i="1"/>
  <c r="B71" i="1"/>
  <c r="B125" i="1"/>
  <c r="H125" i="1"/>
  <c r="I128" i="1"/>
  <c r="I131" i="1"/>
  <c r="B73" i="1"/>
  <c r="B127" i="1"/>
  <c r="K127" i="1"/>
  <c r="H127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L119" i="1"/>
  <c r="L124" i="1"/>
  <c r="B30" i="1"/>
  <c r="K30" i="1"/>
  <c r="B119" i="1"/>
  <c r="L30" i="1"/>
  <c r="L32" i="1"/>
  <c r="B72" i="1"/>
  <c r="B126" i="1"/>
  <c r="H126" i="1"/>
  <c r="B128" i="1"/>
  <c r="K128" i="1"/>
  <c r="L128" i="1"/>
  <c r="L127" i="1"/>
  <c r="J33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B70" i="8"/>
  <c r="B71" i="8"/>
  <c r="B72" i="8"/>
  <c r="B29" i="8"/>
  <c r="C29" i="8"/>
  <c r="D29" i="8"/>
  <c r="B80" i="8"/>
  <c r="B82" i="8"/>
  <c r="B81" i="8"/>
  <c r="B83" i="8"/>
  <c r="G37" i="8"/>
  <c r="H83" i="8"/>
  <c r="I83" i="8"/>
  <c r="F70" i="8"/>
  <c r="H70" i="8"/>
  <c r="F71" i="8"/>
  <c r="H71" i="8"/>
  <c r="F72" i="8"/>
  <c r="H72" i="8"/>
  <c r="T26" i="8"/>
  <c r="B6" i="8"/>
  <c r="C6" i="8"/>
  <c r="D6" i="8"/>
  <c r="E6" i="8"/>
  <c r="H6" i="8"/>
  <c r="I6" i="8"/>
  <c r="B7" i="8"/>
  <c r="C7" i="8"/>
  <c r="D7" i="8"/>
  <c r="E7" i="8"/>
  <c r="H7" i="8"/>
  <c r="I7" i="8"/>
  <c r="B8" i="8"/>
  <c r="C8" i="8"/>
  <c r="D8" i="8"/>
  <c r="E8" i="8"/>
  <c r="H8" i="8"/>
  <c r="I8" i="8"/>
  <c r="B9" i="8"/>
  <c r="C9" i="8"/>
  <c r="D9" i="8"/>
  <c r="E9" i="8"/>
  <c r="H9" i="8"/>
  <c r="I9" i="8"/>
  <c r="B10" i="8"/>
  <c r="C10" i="8"/>
  <c r="D10" i="8"/>
  <c r="E10" i="8"/>
  <c r="H10" i="8"/>
  <c r="I10" i="8"/>
  <c r="B11" i="8"/>
  <c r="C11" i="8"/>
  <c r="D11" i="8"/>
  <c r="I11" i="8"/>
  <c r="B12" i="8"/>
  <c r="C12" i="8"/>
  <c r="D12" i="8"/>
  <c r="I12" i="8"/>
  <c r="B13" i="8"/>
  <c r="C13" i="8"/>
  <c r="D13" i="8"/>
  <c r="I13" i="8"/>
  <c r="B14" i="8"/>
  <c r="C14" i="8"/>
  <c r="D14" i="8"/>
  <c r="I14" i="8"/>
  <c r="B15" i="8"/>
  <c r="C15" i="8"/>
  <c r="D15" i="8"/>
  <c r="I15" i="8"/>
  <c r="B16" i="8"/>
  <c r="C16" i="8"/>
  <c r="D16" i="8"/>
  <c r="I16" i="8"/>
  <c r="B17" i="8"/>
  <c r="C17" i="8"/>
  <c r="D17" i="8"/>
  <c r="I17" i="8"/>
  <c r="B18" i="8"/>
  <c r="C18" i="8"/>
  <c r="D18" i="8"/>
  <c r="I18" i="8"/>
  <c r="B19" i="8"/>
  <c r="C19" i="8"/>
  <c r="D19" i="8"/>
  <c r="I19" i="8"/>
  <c r="B20" i="8"/>
  <c r="C20" i="8"/>
  <c r="D20" i="8"/>
  <c r="I20" i="8"/>
  <c r="B21" i="8"/>
  <c r="C21" i="8"/>
  <c r="D21" i="8"/>
  <c r="I21" i="8"/>
  <c r="B22" i="8"/>
  <c r="C22" i="8"/>
  <c r="D22" i="8"/>
  <c r="I22" i="8"/>
  <c r="B23" i="8"/>
  <c r="C23" i="8"/>
  <c r="D23" i="8"/>
  <c r="I23" i="8"/>
  <c r="B24" i="8"/>
  <c r="C24" i="8"/>
  <c r="D24" i="8"/>
  <c r="I24" i="8"/>
  <c r="B25" i="8"/>
  <c r="C25" i="8"/>
  <c r="D25" i="8"/>
  <c r="I25" i="8"/>
  <c r="B26" i="8"/>
  <c r="C26" i="8"/>
  <c r="D26" i="8"/>
  <c r="I26" i="8"/>
  <c r="B27" i="8"/>
  <c r="C27" i="8"/>
  <c r="D27" i="8"/>
  <c r="I27" i="8"/>
  <c r="B28" i="8"/>
  <c r="C28" i="8"/>
  <c r="D28" i="8"/>
  <c r="I28" i="8"/>
  <c r="I29" i="8"/>
  <c r="B37" i="8"/>
  <c r="B91" i="8"/>
  <c r="C37" i="8"/>
  <c r="C91" i="8"/>
  <c r="D91" i="8"/>
  <c r="E37" i="8"/>
  <c r="F37" i="8"/>
  <c r="H91" i="8"/>
  <c r="I91" i="8"/>
  <c r="B38" i="8"/>
  <c r="B92" i="8"/>
  <c r="C38" i="8"/>
  <c r="C92" i="8"/>
  <c r="D92" i="8"/>
  <c r="E38" i="8"/>
  <c r="G38" i="8"/>
  <c r="F38" i="8"/>
  <c r="H92" i="8"/>
  <c r="I92" i="8"/>
  <c r="B39" i="8"/>
  <c r="B93" i="8"/>
  <c r="C39" i="8"/>
  <c r="C93" i="8"/>
  <c r="D93" i="8"/>
  <c r="E39" i="8"/>
  <c r="G39" i="8"/>
  <c r="F39" i="8"/>
  <c r="H93" i="8"/>
  <c r="I93" i="8"/>
  <c r="B40" i="8"/>
  <c r="B94" i="8"/>
  <c r="C40" i="8"/>
  <c r="C94" i="8"/>
  <c r="D94" i="8"/>
  <c r="G40" i="8"/>
  <c r="F40" i="8"/>
  <c r="E40" i="8"/>
  <c r="H94" i="8"/>
  <c r="I94" i="8"/>
  <c r="B41" i="8"/>
  <c r="B95" i="8"/>
  <c r="C41" i="8"/>
  <c r="C95" i="8"/>
  <c r="D95" i="8"/>
  <c r="G41" i="8"/>
  <c r="E41" i="8"/>
  <c r="F41" i="8"/>
  <c r="H95" i="8"/>
  <c r="I95" i="8"/>
  <c r="B42" i="8"/>
  <c r="B96" i="8"/>
  <c r="C42" i="8"/>
  <c r="C96" i="8"/>
  <c r="D96" i="8"/>
  <c r="G42" i="8"/>
  <c r="E42" i="8"/>
  <c r="F42" i="8"/>
  <c r="H96" i="8"/>
  <c r="I96" i="8"/>
  <c r="B43" i="8"/>
  <c r="B97" i="8"/>
  <c r="C43" i="8"/>
  <c r="C97" i="8"/>
  <c r="D97" i="8"/>
  <c r="G43" i="8"/>
  <c r="E43" i="8"/>
  <c r="F43" i="8"/>
  <c r="H97" i="8"/>
  <c r="I97" i="8"/>
  <c r="B44" i="8"/>
  <c r="B98" i="8"/>
  <c r="C44" i="8"/>
  <c r="C98" i="8"/>
  <c r="D98" i="8"/>
  <c r="G44" i="8"/>
  <c r="E44" i="8"/>
  <c r="F44" i="8"/>
  <c r="H98" i="8"/>
  <c r="I98" i="8"/>
  <c r="B45" i="8"/>
  <c r="B99" i="8"/>
  <c r="C45" i="8"/>
  <c r="C99" i="8"/>
  <c r="D99" i="8"/>
  <c r="G45" i="8"/>
  <c r="E45" i="8"/>
  <c r="F45" i="8"/>
  <c r="H99" i="8"/>
  <c r="I99" i="8"/>
  <c r="B46" i="8"/>
  <c r="B100" i="8"/>
  <c r="C46" i="8"/>
  <c r="C100" i="8"/>
  <c r="D100" i="8"/>
  <c r="G46" i="8"/>
  <c r="E46" i="8"/>
  <c r="F46" i="8"/>
  <c r="H100" i="8"/>
  <c r="I100" i="8"/>
  <c r="B47" i="8"/>
  <c r="B101" i="8"/>
  <c r="C47" i="8"/>
  <c r="C101" i="8"/>
  <c r="D101" i="8"/>
  <c r="E47" i="8"/>
  <c r="G47" i="8"/>
  <c r="F47" i="8"/>
  <c r="H101" i="8"/>
  <c r="I101" i="8"/>
  <c r="B48" i="8"/>
  <c r="B102" i="8"/>
  <c r="C48" i="8"/>
  <c r="C102" i="8"/>
  <c r="D102" i="8"/>
  <c r="E48" i="8"/>
  <c r="G48" i="8"/>
  <c r="F48" i="8"/>
  <c r="H102" i="8"/>
  <c r="I102" i="8"/>
  <c r="B49" i="8"/>
  <c r="B103" i="8"/>
  <c r="C49" i="8"/>
  <c r="C103" i="8"/>
  <c r="D103" i="8"/>
  <c r="G49" i="8"/>
  <c r="F49" i="8"/>
  <c r="E49" i="8"/>
  <c r="H103" i="8"/>
  <c r="I103" i="8"/>
  <c r="B50" i="8"/>
  <c r="B104" i="8"/>
  <c r="C50" i="8"/>
  <c r="C104" i="8"/>
  <c r="D104" i="8"/>
  <c r="G50" i="8"/>
  <c r="F50" i="8"/>
  <c r="H104" i="8"/>
  <c r="I104" i="8"/>
  <c r="B51" i="8"/>
  <c r="B105" i="8"/>
  <c r="C51" i="8"/>
  <c r="C105" i="8"/>
  <c r="D105" i="8"/>
  <c r="G51" i="8"/>
  <c r="H105" i="8"/>
  <c r="I105" i="8"/>
  <c r="B52" i="8"/>
  <c r="B106" i="8"/>
  <c r="C52" i="8"/>
  <c r="C106" i="8"/>
  <c r="D106" i="8"/>
  <c r="G52" i="8"/>
  <c r="F52" i="8"/>
  <c r="H106" i="8"/>
  <c r="I106" i="8"/>
  <c r="B53" i="8"/>
  <c r="B107" i="8"/>
  <c r="C53" i="8"/>
  <c r="C107" i="8"/>
  <c r="D107" i="8"/>
  <c r="G53" i="8"/>
  <c r="H107" i="8"/>
  <c r="I107" i="8"/>
  <c r="B54" i="8"/>
  <c r="B108" i="8"/>
  <c r="C54" i="8"/>
  <c r="C108" i="8"/>
  <c r="D108" i="8"/>
  <c r="G54" i="8"/>
  <c r="H108" i="8"/>
  <c r="I108" i="8"/>
  <c r="B55" i="8"/>
  <c r="B109" i="8"/>
  <c r="C55" i="8"/>
  <c r="C109" i="8"/>
  <c r="D109" i="8"/>
  <c r="G55" i="8"/>
  <c r="H109" i="8"/>
  <c r="I109" i="8"/>
  <c r="B56" i="8"/>
  <c r="B110" i="8"/>
  <c r="C56" i="8"/>
  <c r="C110" i="8"/>
  <c r="D110" i="8"/>
  <c r="G56" i="8"/>
  <c r="H110" i="8"/>
  <c r="I110" i="8"/>
  <c r="B57" i="8"/>
  <c r="B111" i="8"/>
  <c r="C57" i="8"/>
  <c r="C111" i="8"/>
  <c r="D111" i="8"/>
  <c r="G57" i="8"/>
  <c r="H111" i="8"/>
  <c r="I111" i="8"/>
  <c r="B58" i="8"/>
  <c r="B112" i="8"/>
  <c r="C58" i="8"/>
  <c r="C112" i="8"/>
  <c r="D112" i="8"/>
  <c r="G58" i="8"/>
  <c r="H112" i="8"/>
  <c r="I112" i="8"/>
  <c r="B59" i="8"/>
  <c r="B113" i="8"/>
  <c r="C59" i="8"/>
  <c r="C113" i="8"/>
  <c r="D113" i="8"/>
  <c r="G59" i="8"/>
  <c r="H113" i="8"/>
  <c r="I113" i="8"/>
  <c r="B60" i="8"/>
  <c r="B114" i="8"/>
  <c r="C60" i="8"/>
  <c r="C114" i="8"/>
  <c r="D114" i="8"/>
  <c r="G60" i="8"/>
  <c r="H114" i="8"/>
  <c r="I114" i="8"/>
  <c r="B61" i="8"/>
  <c r="B115" i="8"/>
  <c r="C61" i="8"/>
  <c r="C115" i="8"/>
  <c r="D115" i="8"/>
  <c r="G61" i="8"/>
  <c r="H115" i="8"/>
  <c r="I115" i="8"/>
  <c r="B62" i="8"/>
  <c r="B116" i="8"/>
  <c r="C62" i="8"/>
  <c r="C116" i="8"/>
  <c r="D116" i="8"/>
  <c r="G62" i="8"/>
  <c r="H116" i="8"/>
  <c r="I116" i="8"/>
  <c r="B63" i="8"/>
  <c r="B117" i="8"/>
  <c r="C63" i="8"/>
  <c r="C117" i="8"/>
  <c r="D117" i="8"/>
  <c r="G63" i="8"/>
  <c r="H117" i="8"/>
  <c r="I117" i="8"/>
  <c r="B64" i="8"/>
  <c r="B118" i="8"/>
  <c r="C64" i="8"/>
  <c r="C118" i="8"/>
  <c r="D118" i="8"/>
  <c r="G64" i="8"/>
  <c r="H118" i="8"/>
  <c r="I118" i="8"/>
  <c r="I119" i="8"/>
  <c r="B124" i="8"/>
  <c r="H124" i="8"/>
  <c r="I124" i="8"/>
  <c r="I30" i="8"/>
  <c r="I32" i="8"/>
  <c r="B125" i="8"/>
  <c r="I128" i="8"/>
  <c r="H125" i="8"/>
  <c r="I131" i="8"/>
  <c r="B73" i="8"/>
  <c r="B127" i="8"/>
  <c r="K127" i="8"/>
  <c r="K6" i="8"/>
  <c r="L6" i="8"/>
  <c r="K7" i="8"/>
  <c r="L7" i="8"/>
  <c r="K8" i="8"/>
  <c r="L8" i="8"/>
  <c r="K9" i="8"/>
  <c r="L9" i="8"/>
  <c r="K10" i="8"/>
  <c r="L10" i="8"/>
  <c r="K11" i="8"/>
  <c r="L11" i="8"/>
  <c r="K12" i="8"/>
  <c r="L12" i="8"/>
  <c r="K13" i="8"/>
  <c r="L13" i="8"/>
  <c r="K14" i="8"/>
  <c r="L14" i="8"/>
  <c r="K15" i="8"/>
  <c r="L15" i="8"/>
  <c r="K16" i="8"/>
  <c r="L16" i="8"/>
  <c r="K17" i="8"/>
  <c r="L17" i="8"/>
  <c r="K18" i="8"/>
  <c r="L18" i="8"/>
  <c r="K19" i="8"/>
  <c r="L19" i="8"/>
  <c r="K20" i="8"/>
  <c r="L20" i="8"/>
  <c r="K21" i="8"/>
  <c r="L21" i="8"/>
  <c r="K22" i="8"/>
  <c r="L22" i="8"/>
  <c r="K23" i="8"/>
  <c r="L23" i="8"/>
  <c r="K24" i="8"/>
  <c r="L24" i="8"/>
  <c r="K25" i="8"/>
  <c r="L25" i="8"/>
  <c r="K26" i="8"/>
  <c r="L26" i="8"/>
  <c r="K27" i="8"/>
  <c r="L27" i="8"/>
  <c r="K28" i="8"/>
  <c r="L28" i="8"/>
  <c r="K29" i="8"/>
  <c r="L29" i="8"/>
  <c r="K91" i="8"/>
  <c r="L91" i="8"/>
  <c r="K92" i="8"/>
  <c r="L92" i="8"/>
  <c r="K93" i="8"/>
  <c r="L93" i="8"/>
  <c r="K94" i="8"/>
  <c r="L94" i="8"/>
  <c r="K95" i="8"/>
  <c r="L95" i="8"/>
  <c r="K96" i="8"/>
  <c r="L96" i="8"/>
  <c r="K97" i="8"/>
  <c r="L97" i="8"/>
  <c r="K98" i="8"/>
  <c r="L98" i="8"/>
  <c r="K99" i="8"/>
  <c r="L99" i="8"/>
  <c r="K100" i="8"/>
  <c r="L100" i="8"/>
  <c r="K101" i="8"/>
  <c r="L101" i="8"/>
  <c r="K102" i="8"/>
  <c r="L102" i="8"/>
  <c r="K103" i="8"/>
  <c r="L103" i="8"/>
  <c r="K104" i="8"/>
  <c r="L104" i="8"/>
  <c r="K105" i="8"/>
  <c r="L105" i="8"/>
  <c r="K106" i="8"/>
  <c r="L106" i="8"/>
  <c r="K107" i="8"/>
  <c r="L107" i="8"/>
  <c r="K108" i="8"/>
  <c r="L108" i="8"/>
  <c r="K109" i="8"/>
  <c r="L109" i="8"/>
  <c r="K110" i="8"/>
  <c r="L110" i="8"/>
  <c r="K111" i="8"/>
  <c r="L111" i="8"/>
  <c r="K112" i="8"/>
  <c r="L112" i="8"/>
  <c r="K113" i="8"/>
  <c r="L113" i="8"/>
  <c r="K114" i="8"/>
  <c r="L114" i="8"/>
  <c r="K115" i="8"/>
  <c r="L115" i="8"/>
  <c r="K116" i="8"/>
  <c r="L116" i="8"/>
  <c r="K117" i="8"/>
  <c r="L117" i="8"/>
  <c r="K118" i="8"/>
  <c r="L118" i="8"/>
  <c r="L119" i="8"/>
  <c r="L124" i="8"/>
  <c r="B30" i="8"/>
  <c r="K30" i="8"/>
  <c r="B119" i="8"/>
  <c r="L30" i="8"/>
  <c r="L32" i="8"/>
  <c r="B126" i="8"/>
  <c r="B128" i="8"/>
  <c r="K128" i="8"/>
  <c r="L128" i="8"/>
  <c r="H126" i="8"/>
  <c r="F73" i="8"/>
  <c r="H127" i="8"/>
  <c r="L127" i="8"/>
  <c r="J33" i="8"/>
  <c r="J8" i="8"/>
  <c r="M8" i="8"/>
  <c r="J9" i="8"/>
  <c r="M9" i="8"/>
  <c r="J10" i="8"/>
  <c r="M10" i="8"/>
  <c r="T7" i="8"/>
  <c r="J95" i="8"/>
  <c r="M95" i="8"/>
  <c r="J96" i="8"/>
  <c r="M96" i="8"/>
  <c r="J97" i="8"/>
  <c r="M97" i="8"/>
  <c r="T8" i="8"/>
  <c r="J6" i="8"/>
  <c r="M6" i="8"/>
  <c r="J7" i="8"/>
  <c r="M7" i="8"/>
  <c r="T9" i="8"/>
  <c r="T10" i="8"/>
  <c r="J91" i="8"/>
  <c r="M91" i="8"/>
  <c r="J92" i="8"/>
  <c r="M92" i="8"/>
  <c r="J93" i="8"/>
  <c r="M93" i="8"/>
  <c r="J94" i="8"/>
  <c r="M94" i="8"/>
  <c r="T11" i="8"/>
  <c r="T12" i="8"/>
  <c r="J98" i="8"/>
  <c r="M98" i="8"/>
  <c r="J99" i="8"/>
  <c r="M99" i="8"/>
  <c r="J100" i="8"/>
  <c r="M100" i="8"/>
  <c r="T13" i="8"/>
  <c r="J101" i="8"/>
  <c r="M101" i="8"/>
  <c r="T14" i="8"/>
  <c r="J104" i="8"/>
  <c r="M104" i="8"/>
  <c r="T15" i="8"/>
  <c r="T16" i="8"/>
  <c r="J102" i="8"/>
  <c r="M102" i="8"/>
  <c r="T17" i="8"/>
  <c r="J26" i="8"/>
  <c r="M26" i="8"/>
  <c r="T18" i="8"/>
  <c r="T19" i="8"/>
  <c r="J103" i="8"/>
  <c r="M103" i="8"/>
  <c r="T20" i="8"/>
  <c r="J105" i="8"/>
  <c r="M105" i="8"/>
  <c r="J106" i="8"/>
  <c r="M106" i="8"/>
  <c r="T21" i="8"/>
  <c r="T22" i="8"/>
  <c r="T23" i="8"/>
  <c r="T32" i="8"/>
  <c r="S2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32" i="8"/>
  <c r="R26" i="8"/>
  <c r="B84" i="8"/>
  <c r="I84" i="8"/>
  <c r="H84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32" i="8"/>
  <c r="T25" i="8"/>
  <c r="T31" i="8"/>
  <c r="S25" i="8"/>
  <c r="S31" i="8"/>
  <c r="R25" i="8"/>
  <c r="R31" i="8"/>
  <c r="T24" i="8"/>
  <c r="T30" i="8"/>
  <c r="S24" i="8"/>
  <c r="S30" i="8"/>
  <c r="R24" i="8"/>
  <c r="R30" i="8"/>
  <c r="H83" i="7"/>
  <c r="I83" i="7"/>
  <c r="H70" i="7"/>
  <c r="H71" i="7"/>
  <c r="H72" i="7"/>
  <c r="T26" i="7"/>
  <c r="M8" i="7"/>
  <c r="M9" i="7"/>
  <c r="M10" i="7"/>
  <c r="T7" i="7"/>
  <c r="J95" i="7"/>
  <c r="M95" i="7"/>
  <c r="J96" i="7"/>
  <c r="M96" i="7"/>
  <c r="J97" i="7"/>
  <c r="M97" i="7"/>
  <c r="T8" i="7"/>
  <c r="M6" i="7"/>
  <c r="M7" i="7"/>
  <c r="T9" i="7"/>
  <c r="T10" i="7"/>
  <c r="J91" i="7"/>
  <c r="M91" i="7"/>
  <c r="J92" i="7"/>
  <c r="M92" i="7"/>
  <c r="J93" i="7"/>
  <c r="M93" i="7"/>
  <c r="J94" i="7"/>
  <c r="M94" i="7"/>
  <c r="T11" i="7"/>
  <c r="J98" i="7"/>
  <c r="M98" i="7"/>
  <c r="T12" i="7"/>
  <c r="J99" i="7"/>
  <c r="M99" i="7"/>
  <c r="J100" i="7"/>
  <c r="M100" i="7"/>
  <c r="J101" i="7"/>
  <c r="M101" i="7"/>
  <c r="T13" i="7"/>
  <c r="J102" i="7"/>
  <c r="M102" i="7"/>
  <c r="T14" i="7"/>
  <c r="J105" i="7"/>
  <c r="M105" i="7"/>
  <c r="T15" i="7"/>
  <c r="T16" i="7"/>
  <c r="J103" i="7"/>
  <c r="M103" i="7"/>
  <c r="T17" i="7"/>
  <c r="M26" i="7"/>
  <c r="T18" i="7"/>
  <c r="T19" i="7"/>
  <c r="J104" i="7"/>
  <c r="M104" i="7"/>
  <c r="T20" i="7"/>
  <c r="J106" i="7"/>
  <c r="M106" i="7"/>
  <c r="J107" i="7"/>
  <c r="M107" i="7"/>
  <c r="T21" i="7"/>
  <c r="T22" i="7"/>
  <c r="T23" i="7"/>
  <c r="T32" i="7"/>
  <c r="S2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32" i="7"/>
  <c r="R26" i="7"/>
  <c r="B84" i="7"/>
  <c r="I84" i="7"/>
  <c r="H84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32" i="7"/>
  <c r="T25" i="7"/>
  <c r="T31" i="7"/>
  <c r="S25" i="7"/>
  <c r="S31" i="7"/>
  <c r="R25" i="7"/>
  <c r="R31" i="7"/>
  <c r="T24" i="7"/>
  <c r="T30" i="7"/>
  <c r="S24" i="7"/>
  <c r="S30" i="7"/>
  <c r="R24" i="7"/>
  <c r="R30" i="7"/>
  <c r="H83" i="1"/>
  <c r="I83" i="1"/>
  <c r="H70" i="1"/>
  <c r="H71" i="1"/>
  <c r="H72" i="1"/>
  <c r="T26" i="1"/>
  <c r="M8" i="1"/>
  <c r="M9" i="1"/>
  <c r="M10" i="1"/>
  <c r="T7" i="1"/>
  <c r="J95" i="1"/>
  <c r="M95" i="1"/>
  <c r="J96" i="1"/>
  <c r="M96" i="1"/>
  <c r="J97" i="1"/>
  <c r="M97" i="1"/>
  <c r="T8" i="1"/>
  <c r="M6" i="1"/>
  <c r="M7" i="1"/>
  <c r="T9" i="1"/>
  <c r="T10" i="1"/>
  <c r="J91" i="1"/>
  <c r="M91" i="1"/>
  <c r="J92" i="1"/>
  <c r="M92" i="1"/>
  <c r="J93" i="1"/>
  <c r="M93" i="1"/>
  <c r="J94" i="1"/>
  <c r="M94" i="1"/>
  <c r="T11" i="1"/>
  <c r="T12" i="1"/>
  <c r="J98" i="1"/>
  <c r="M98" i="1"/>
  <c r="J99" i="1"/>
  <c r="M99" i="1"/>
  <c r="J100" i="1"/>
  <c r="M100" i="1"/>
  <c r="T13" i="1"/>
  <c r="J101" i="1"/>
  <c r="M101" i="1"/>
  <c r="T14" i="1"/>
  <c r="J104" i="1"/>
  <c r="M104" i="1"/>
  <c r="T15" i="1"/>
  <c r="T16" i="1"/>
  <c r="J102" i="1"/>
  <c r="M102" i="1"/>
  <c r="T17" i="1"/>
  <c r="M26" i="1"/>
  <c r="T18" i="1"/>
  <c r="T19" i="1"/>
  <c r="J103" i="1"/>
  <c r="M103" i="1"/>
  <c r="T20" i="1"/>
  <c r="J105" i="1"/>
  <c r="M105" i="1"/>
  <c r="J106" i="1"/>
  <c r="M106" i="1"/>
  <c r="T21" i="1"/>
  <c r="T22" i="1"/>
  <c r="T23" i="1"/>
  <c r="T32" i="1"/>
  <c r="S2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32" i="1"/>
  <c r="R26" i="1"/>
  <c r="B84" i="1"/>
  <c r="I84" i="1"/>
  <c r="H84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32" i="1"/>
  <c r="T25" i="1"/>
  <c r="T31" i="1"/>
  <c r="S25" i="1"/>
  <c r="S31" i="1"/>
  <c r="R25" i="1"/>
  <c r="R31" i="1"/>
  <c r="T24" i="1"/>
  <c r="T30" i="1"/>
  <c r="S24" i="1"/>
  <c r="S30" i="1"/>
  <c r="R24" i="1"/>
  <c r="R30" i="1"/>
  <c r="G37" i="12"/>
  <c r="H83" i="12"/>
  <c r="B80" i="12"/>
  <c r="B82" i="12"/>
  <c r="B81" i="12"/>
  <c r="B83" i="12"/>
  <c r="I83" i="12"/>
  <c r="B70" i="12"/>
  <c r="B29" i="12"/>
  <c r="C29" i="12"/>
  <c r="D29" i="12"/>
  <c r="F70" i="12"/>
  <c r="H70" i="12"/>
  <c r="I84" i="12"/>
  <c r="B84" i="12"/>
  <c r="H84" i="12"/>
  <c r="B41" i="12"/>
  <c r="B95" i="12"/>
  <c r="K95" i="12"/>
  <c r="B42" i="12"/>
  <c r="B96" i="12"/>
  <c r="K96" i="12"/>
  <c r="B43" i="12"/>
  <c r="B97" i="12"/>
  <c r="K97" i="12"/>
  <c r="R8" i="12"/>
  <c r="G41" i="12"/>
  <c r="E41" i="12"/>
  <c r="F41" i="12"/>
  <c r="H95" i="12"/>
  <c r="L95" i="12"/>
  <c r="G42" i="12"/>
  <c r="E42" i="12"/>
  <c r="F42" i="12"/>
  <c r="H96" i="12"/>
  <c r="L96" i="12"/>
  <c r="G43" i="12"/>
  <c r="E43" i="12"/>
  <c r="F43" i="12"/>
  <c r="H97" i="12"/>
  <c r="L97" i="12"/>
  <c r="S8" i="12"/>
  <c r="E37" i="12"/>
  <c r="F37" i="12"/>
  <c r="H91" i="12"/>
  <c r="B37" i="12"/>
  <c r="B91" i="12"/>
  <c r="C37" i="12"/>
  <c r="C91" i="12"/>
  <c r="D91" i="12"/>
  <c r="I91" i="12"/>
  <c r="G38" i="12"/>
  <c r="E38" i="12"/>
  <c r="F38" i="12"/>
  <c r="H92" i="12"/>
  <c r="B38" i="12"/>
  <c r="B92" i="12"/>
  <c r="C38" i="12"/>
  <c r="C92" i="12"/>
  <c r="D92" i="12"/>
  <c r="I92" i="12"/>
  <c r="G39" i="12"/>
  <c r="E39" i="12"/>
  <c r="F39" i="12"/>
  <c r="H93" i="12"/>
  <c r="B39" i="12"/>
  <c r="B93" i="12"/>
  <c r="C39" i="12"/>
  <c r="C93" i="12"/>
  <c r="D93" i="12"/>
  <c r="I93" i="12"/>
  <c r="G40" i="12"/>
  <c r="F40" i="12"/>
  <c r="E40" i="12"/>
  <c r="H94" i="12"/>
  <c r="B40" i="12"/>
  <c r="B94" i="12"/>
  <c r="C40" i="12"/>
  <c r="C94" i="12"/>
  <c r="D94" i="12"/>
  <c r="I94" i="12"/>
  <c r="C41" i="12"/>
  <c r="C95" i="12"/>
  <c r="D95" i="12"/>
  <c r="I95" i="12"/>
  <c r="C42" i="12"/>
  <c r="C96" i="12"/>
  <c r="D96" i="12"/>
  <c r="I96" i="12"/>
  <c r="C43" i="12"/>
  <c r="C97" i="12"/>
  <c r="D97" i="12"/>
  <c r="I97" i="12"/>
  <c r="G44" i="12"/>
  <c r="E44" i="12"/>
  <c r="F44" i="12"/>
  <c r="H98" i="12"/>
  <c r="B44" i="12"/>
  <c r="B98" i="12"/>
  <c r="C44" i="12"/>
  <c r="C98" i="12"/>
  <c r="D98" i="12"/>
  <c r="I98" i="12"/>
  <c r="G45" i="12"/>
  <c r="E45" i="12"/>
  <c r="F45" i="12"/>
  <c r="H99" i="12"/>
  <c r="B45" i="12"/>
  <c r="B99" i="12"/>
  <c r="C45" i="12"/>
  <c r="C99" i="12"/>
  <c r="D99" i="12"/>
  <c r="I99" i="12"/>
  <c r="G46" i="12"/>
  <c r="E46" i="12"/>
  <c r="F46" i="12"/>
  <c r="H100" i="12"/>
  <c r="B46" i="12"/>
  <c r="B100" i="12"/>
  <c r="C46" i="12"/>
  <c r="C100" i="12"/>
  <c r="D100" i="12"/>
  <c r="I100" i="12"/>
  <c r="G47" i="12"/>
  <c r="E47" i="12"/>
  <c r="F47" i="12"/>
  <c r="H101" i="12"/>
  <c r="B47" i="12"/>
  <c r="B101" i="12"/>
  <c r="C47" i="12"/>
  <c r="C101" i="12"/>
  <c r="D101" i="12"/>
  <c r="I101" i="12"/>
  <c r="G48" i="12"/>
  <c r="E48" i="12"/>
  <c r="F48" i="12"/>
  <c r="H102" i="12"/>
  <c r="B48" i="12"/>
  <c r="B102" i="12"/>
  <c r="C48" i="12"/>
  <c r="C102" i="12"/>
  <c r="D102" i="12"/>
  <c r="I102" i="12"/>
  <c r="G49" i="12"/>
  <c r="F49" i="12"/>
  <c r="E49" i="12"/>
  <c r="H103" i="12"/>
  <c r="B49" i="12"/>
  <c r="B103" i="12"/>
  <c r="C49" i="12"/>
  <c r="C103" i="12"/>
  <c r="D103" i="12"/>
  <c r="I103" i="12"/>
  <c r="G50" i="12"/>
  <c r="F50" i="12"/>
  <c r="H104" i="12"/>
  <c r="B50" i="12"/>
  <c r="B104" i="12"/>
  <c r="C50" i="12"/>
  <c r="C104" i="12"/>
  <c r="D104" i="12"/>
  <c r="I104" i="12"/>
  <c r="G51" i="12"/>
  <c r="H105" i="12"/>
  <c r="B51" i="12"/>
  <c r="B105" i="12"/>
  <c r="C51" i="12"/>
  <c r="C105" i="12"/>
  <c r="D105" i="12"/>
  <c r="I105" i="12"/>
  <c r="G52" i="12"/>
  <c r="F52" i="12"/>
  <c r="H106" i="12"/>
  <c r="B52" i="12"/>
  <c r="B106" i="12"/>
  <c r="C52" i="12"/>
  <c r="C106" i="12"/>
  <c r="D106" i="12"/>
  <c r="I106" i="12"/>
  <c r="G53" i="12"/>
  <c r="H107" i="12"/>
  <c r="B53" i="12"/>
  <c r="B107" i="12"/>
  <c r="C53" i="12"/>
  <c r="C107" i="12"/>
  <c r="D107" i="12"/>
  <c r="I107" i="12"/>
  <c r="G54" i="12"/>
  <c r="H108" i="12"/>
  <c r="B54" i="12"/>
  <c r="B108" i="12"/>
  <c r="C54" i="12"/>
  <c r="C108" i="12"/>
  <c r="D108" i="12"/>
  <c r="I108" i="12"/>
  <c r="G55" i="12"/>
  <c r="H109" i="12"/>
  <c r="B55" i="12"/>
  <c r="B109" i="12"/>
  <c r="C55" i="12"/>
  <c r="C109" i="12"/>
  <c r="D109" i="12"/>
  <c r="I109" i="12"/>
  <c r="G56" i="12"/>
  <c r="H110" i="12"/>
  <c r="B56" i="12"/>
  <c r="B110" i="12"/>
  <c r="C56" i="12"/>
  <c r="C110" i="12"/>
  <c r="D110" i="12"/>
  <c r="I110" i="12"/>
  <c r="G57" i="12"/>
  <c r="H111" i="12"/>
  <c r="B57" i="12"/>
  <c r="B111" i="12"/>
  <c r="C57" i="12"/>
  <c r="C111" i="12"/>
  <c r="D111" i="12"/>
  <c r="I111" i="12"/>
  <c r="G58" i="12"/>
  <c r="H112" i="12"/>
  <c r="B58" i="12"/>
  <c r="B112" i="12"/>
  <c r="C58" i="12"/>
  <c r="C112" i="12"/>
  <c r="D112" i="12"/>
  <c r="I112" i="12"/>
  <c r="G59" i="12"/>
  <c r="H113" i="12"/>
  <c r="B59" i="12"/>
  <c r="B113" i="12"/>
  <c r="C59" i="12"/>
  <c r="C113" i="12"/>
  <c r="D113" i="12"/>
  <c r="I113" i="12"/>
  <c r="G60" i="12"/>
  <c r="H114" i="12"/>
  <c r="B60" i="12"/>
  <c r="B114" i="12"/>
  <c r="C60" i="12"/>
  <c r="C114" i="12"/>
  <c r="D114" i="12"/>
  <c r="I114" i="12"/>
  <c r="G61" i="12"/>
  <c r="H115" i="12"/>
  <c r="B61" i="12"/>
  <c r="B115" i="12"/>
  <c r="C61" i="12"/>
  <c r="C115" i="12"/>
  <c r="D115" i="12"/>
  <c r="I115" i="12"/>
  <c r="G62" i="12"/>
  <c r="H116" i="12"/>
  <c r="B62" i="12"/>
  <c r="B116" i="12"/>
  <c r="C62" i="12"/>
  <c r="C116" i="12"/>
  <c r="D116" i="12"/>
  <c r="I116" i="12"/>
  <c r="G63" i="12"/>
  <c r="H117" i="12"/>
  <c r="B63" i="12"/>
  <c r="B117" i="12"/>
  <c r="C63" i="12"/>
  <c r="C117" i="12"/>
  <c r="D117" i="12"/>
  <c r="I117" i="12"/>
  <c r="G64" i="12"/>
  <c r="H118" i="12"/>
  <c r="B64" i="12"/>
  <c r="B118" i="12"/>
  <c r="C64" i="12"/>
  <c r="C118" i="12"/>
  <c r="D118" i="12"/>
  <c r="I118" i="12"/>
  <c r="I119" i="12"/>
  <c r="H124" i="12"/>
  <c r="B124" i="12"/>
  <c r="I124" i="12"/>
  <c r="I30" i="12"/>
  <c r="B6" i="12"/>
  <c r="C6" i="12"/>
  <c r="D6" i="12"/>
  <c r="E6" i="12"/>
  <c r="H6" i="12"/>
  <c r="I6" i="12"/>
  <c r="B7" i="12"/>
  <c r="C7" i="12"/>
  <c r="D7" i="12"/>
  <c r="E7" i="12"/>
  <c r="H7" i="12"/>
  <c r="I7" i="12"/>
  <c r="B8" i="12"/>
  <c r="C8" i="12"/>
  <c r="D8" i="12"/>
  <c r="E8" i="12"/>
  <c r="H8" i="12"/>
  <c r="I8" i="12"/>
  <c r="B9" i="12"/>
  <c r="C9" i="12"/>
  <c r="D9" i="12"/>
  <c r="E9" i="12"/>
  <c r="H9" i="12"/>
  <c r="I9" i="12"/>
  <c r="B10" i="12"/>
  <c r="C10" i="12"/>
  <c r="D10" i="12"/>
  <c r="E10" i="12"/>
  <c r="H10" i="12"/>
  <c r="I10" i="12"/>
  <c r="B11" i="12"/>
  <c r="C11" i="12"/>
  <c r="D11" i="12"/>
  <c r="I11" i="12"/>
  <c r="B12" i="12"/>
  <c r="C12" i="12"/>
  <c r="D12" i="12"/>
  <c r="I12" i="12"/>
  <c r="B13" i="12"/>
  <c r="C13" i="12"/>
  <c r="D13" i="12"/>
  <c r="I13" i="12"/>
  <c r="B14" i="12"/>
  <c r="C14" i="12"/>
  <c r="D14" i="12"/>
  <c r="I14" i="12"/>
  <c r="B15" i="12"/>
  <c r="C15" i="12"/>
  <c r="D15" i="12"/>
  <c r="I15" i="12"/>
  <c r="B16" i="12"/>
  <c r="C16" i="12"/>
  <c r="D16" i="12"/>
  <c r="I16" i="12"/>
  <c r="B17" i="12"/>
  <c r="C17" i="12"/>
  <c r="D17" i="12"/>
  <c r="I17" i="12"/>
  <c r="B18" i="12"/>
  <c r="C18" i="12"/>
  <c r="D18" i="12"/>
  <c r="I18" i="12"/>
  <c r="B19" i="12"/>
  <c r="C19" i="12"/>
  <c r="D19" i="12"/>
  <c r="I19" i="12"/>
  <c r="B20" i="12"/>
  <c r="C20" i="12"/>
  <c r="D20" i="12"/>
  <c r="I20" i="12"/>
  <c r="B21" i="12"/>
  <c r="C21" i="12"/>
  <c r="D21" i="12"/>
  <c r="I21" i="12"/>
  <c r="B22" i="12"/>
  <c r="C22" i="12"/>
  <c r="D22" i="12"/>
  <c r="I22" i="12"/>
  <c r="B23" i="12"/>
  <c r="C23" i="12"/>
  <c r="D23" i="12"/>
  <c r="I23" i="12"/>
  <c r="B24" i="12"/>
  <c r="C24" i="12"/>
  <c r="D24" i="12"/>
  <c r="I24" i="12"/>
  <c r="B25" i="12"/>
  <c r="C25" i="12"/>
  <c r="D25" i="12"/>
  <c r="I25" i="12"/>
  <c r="B26" i="12"/>
  <c r="C26" i="12"/>
  <c r="D26" i="12"/>
  <c r="I26" i="12"/>
  <c r="B27" i="12"/>
  <c r="C27" i="12"/>
  <c r="D27" i="12"/>
  <c r="I27" i="12"/>
  <c r="B28" i="12"/>
  <c r="C28" i="12"/>
  <c r="D28" i="12"/>
  <c r="I28" i="12"/>
  <c r="I29" i="12"/>
  <c r="I32" i="12"/>
  <c r="F71" i="12"/>
  <c r="H125" i="12"/>
  <c r="I128" i="12"/>
  <c r="B71" i="12"/>
  <c r="B125" i="12"/>
  <c r="I131" i="12"/>
  <c r="J95" i="12"/>
  <c r="M95" i="12"/>
  <c r="J96" i="12"/>
  <c r="M96" i="12"/>
  <c r="J97" i="12"/>
  <c r="M97" i="12"/>
  <c r="T8" i="12"/>
  <c r="K6" i="12"/>
  <c r="K7" i="12"/>
  <c r="R9" i="12"/>
  <c r="L6" i="12"/>
  <c r="L7" i="12"/>
  <c r="S9" i="12"/>
  <c r="J6" i="12"/>
  <c r="M6" i="12"/>
  <c r="J7" i="12"/>
  <c r="M7" i="12"/>
  <c r="T9" i="12"/>
  <c r="R10" i="12"/>
  <c r="S10" i="12"/>
  <c r="T10" i="12"/>
  <c r="K91" i="12"/>
  <c r="K92" i="12"/>
  <c r="K93" i="12"/>
  <c r="K94" i="12"/>
  <c r="R11" i="12"/>
  <c r="L91" i="12"/>
  <c r="L92" i="12"/>
  <c r="L93" i="12"/>
  <c r="L94" i="12"/>
  <c r="S11" i="12"/>
  <c r="J91" i="12"/>
  <c r="M91" i="12"/>
  <c r="J92" i="12"/>
  <c r="M92" i="12"/>
  <c r="J93" i="12"/>
  <c r="M93" i="12"/>
  <c r="J94" i="12"/>
  <c r="M94" i="12"/>
  <c r="T11" i="12"/>
  <c r="R12" i="12"/>
  <c r="K98" i="12"/>
  <c r="L98" i="12"/>
  <c r="S12" i="12"/>
  <c r="J11" i="12"/>
  <c r="M11" i="12"/>
  <c r="J98" i="12"/>
  <c r="M98" i="12"/>
  <c r="T12" i="12"/>
  <c r="K99" i="12"/>
  <c r="K100" i="12"/>
  <c r="R13" i="12"/>
  <c r="L99" i="12"/>
  <c r="L100" i="12"/>
  <c r="K101" i="12"/>
  <c r="L101" i="12"/>
  <c r="S13" i="12"/>
  <c r="J99" i="12"/>
  <c r="M99" i="12"/>
  <c r="J100" i="12"/>
  <c r="M100" i="12"/>
  <c r="J101" i="12"/>
  <c r="M101" i="12"/>
  <c r="T13" i="12"/>
  <c r="R14" i="12"/>
  <c r="K102" i="12"/>
  <c r="L102" i="12"/>
  <c r="S14" i="12"/>
  <c r="J102" i="12"/>
  <c r="M102" i="12"/>
  <c r="T14" i="12"/>
  <c r="K104" i="12"/>
  <c r="R15" i="12"/>
  <c r="K105" i="12"/>
  <c r="L105" i="12"/>
  <c r="L104" i="12"/>
  <c r="S15" i="12"/>
  <c r="J105" i="12"/>
  <c r="M105" i="12"/>
  <c r="J104" i="12"/>
  <c r="M104" i="12"/>
  <c r="T15" i="12"/>
  <c r="R16" i="12"/>
  <c r="S16" i="12"/>
  <c r="T16" i="12"/>
  <c r="R17" i="12"/>
  <c r="K103" i="12"/>
  <c r="L103" i="12"/>
  <c r="S17" i="12"/>
  <c r="J103" i="12"/>
  <c r="M103" i="12"/>
  <c r="T17" i="12"/>
  <c r="K26" i="12"/>
  <c r="R18" i="12"/>
  <c r="L26" i="12"/>
  <c r="S18" i="12"/>
  <c r="J26" i="12"/>
  <c r="M26" i="12"/>
  <c r="T18" i="12"/>
  <c r="R19" i="12"/>
  <c r="S19" i="12"/>
  <c r="T19" i="12"/>
  <c r="R20" i="12"/>
  <c r="S20" i="12"/>
  <c r="T20" i="12"/>
  <c r="K106" i="12"/>
  <c r="R21" i="12"/>
  <c r="L106" i="12"/>
  <c r="K107" i="12"/>
  <c r="L107" i="12"/>
  <c r="S21" i="12"/>
  <c r="F73" i="12"/>
  <c r="H127" i="12"/>
  <c r="K108" i="12"/>
  <c r="L108" i="12"/>
  <c r="K109" i="12"/>
  <c r="L109" i="12"/>
  <c r="K110" i="12"/>
  <c r="L110" i="12"/>
  <c r="K111" i="12"/>
  <c r="L111" i="12"/>
  <c r="K112" i="12"/>
  <c r="L112" i="12"/>
  <c r="K113" i="12"/>
  <c r="L113" i="12"/>
  <c r="K114" i="12"/>
  <c r="L114" i="12"/>
  <c r="K115" i="12"/>
  <c r="L115" i="12"/>
  <c r="K116" i="12"/>
  <c r="L116" i="12"/>
  <c r="K117" i="12"/>
  <c r="L117" i="12"/>
  <c r="K118" i="12"/>
  <c r="L118" i="12"/>
  <c r="L119" i="12"/>
  <c r="L124" i="12"/>
  <c r="B30" i="12"/>
  <c r="K30" i="12"/>
  <c r="B119" i="12"/>
  <c r="L30" i="12"/>
  <c r="K8" i="12"/>
  <c r="L8" i="12"/>
  <c r="K9" i="12"/>
  <c r="L9" i="12"/>
  <c r="K10" i="12"/>
  <c r="L10" i="12"/>
  <c r="K11" i="12"/>
  <c r="L11" i="12"/>
  <c r="K12" i="12"/>
  <c r="L12" i="12"/>
  <c r="K13" i="12"/>
  <c r="L13" i="12"/>
  <c r="K14" i="12"/>
  <c r="L14" i="12"/>
  <c r="K15" i="12"/>
  <c r="L15" i="12"/>
  <c r="K16" i="12"/>
  <c r="L16" i="12"/>
  <c r="K17" i="12"/>
  <c r="L17" i="12"/>
  <c r="K18" i="12"/>
  <c r="L18" i="12"/>
  <c r="K19" i="12"/>
  <c r="L19" i="12"/>
  <c r="K20" i="12"/>
  <c r="L20" i="12"/>
  <c r="K21" i="12"/>
  <c r="L21" i="12"/>
  <c r="K22" i="12"/>
  <c r="L22" i="12"/>
  <c r="K23" i="12"/>
  <c r="L23" i="12"/>
  <c r="K24" i="12"/>
  <c r="L24" i="12"/>
  <c r="K25" i="12"/>
  <c r="L25" i="12"/>
  <c r="K27" i="12"/>
  <c r="L27" i="12"/>
  <c r="K28" i="12"/>
  <c r="L28" i="12"/>
  <c r="K29" i="12"/>
  <c r="L29" i="12"/>
  <c r="L32" i="12"/>
  <c r="F72" i="12"/>
  <c r="H126" i="12"/>
  <c r="B128" i="12"/>
  <c r="K128" i="12"/>
  <c r="L128" i="12"/>
  <c r="B72" i="12"/>
  <c r="B126" i="12"/>
  <c r="B73" i="12"/>
  <c r="B127" i="12"/>
  <c r="L127" i="12"/>
  <c r="K127" i="12"/>
  <c r="J33" i="12"/>
  <c r="J106" i="12"/>
  <c r="M106" i="12"/>
  <c r="J107" i="12"/>
  <c r="M107" i="12"/>
  <c r="T21" i="12"/>
  <c r="R22" i="12"/>
  <c r="S22" i="12"/>
  <c r="T22" i="12"/>
  <c r="R7" i="12"/>
  <c r="H71" i="12"/>
  <c r="H72" i="12"/>
  <c r="T26" i="12"/>
  <c r="S26" i="12"/>
  <c r="R26" i="12"/>
  <c r="T25" i="12"/>
  <c r="S25" i="12"/>
  <c r="R25" i="12"/>
  <c r="T24" i="12"/>
  <c r="S24" i="12"/>
  <c r="R24" i="12"/>
  <c r="J8" i="12"/>
  <c r="M8" i="12"/>
  <c r="J9" i="12"/>
  <c r="M9" i="12"/>
  <c r="J10" i="12"/>
  <c r="M10" i="12"/>
  <c r="T7" i="12"/>
  <c r="S7" i="12"/>
  <c r="T23" i="12"/>
  <c r="T32" i="12"/>
  <c r="S23" i="12"/>
  <c r="S32" i="12"/>
  <c r="R23" i="12"/>
  <c r="R32" i="12"/>
  <c r="T31" i="12"/>
  <c r="S31" i="12"/>
  <c r="R31" i="12"/>
  <c r="T30" i="12"/>
  <c r="S30" i="12"/>
  <c r="R30" i="12"/>
  <c r="J12" i="12"/>
  <c r="J13" i="12"/>
  <c r="J14" i="12"/>
  <c r="J15" i="12"/>
  <c r="J16" i="12"/>
  <c r="J17" i="12"/>
  <c r="J18" i="12"/>
  <c r="J19" i="12"/>
  <c r="J20" i="12"/>
  <c r="J21" i="12"/>
  <c r="J22" i="12"/>
  <c r="J23" i="12"/>
  <c r="J24" i="12"/>
  <c r="J25" i="12"/>
  <c r="J27" i="12"/>
  <c r="J28" i="12"/>
  <c r="J29" i="12"/>
  <c r="J30" i="12"/>
  <c r="J31" i="12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7" i="8"/>
  <c r="J28" i="8"/>
  <c r="J29" i="8"/>
  <c r="J30" i="8"/>
  <c r="J31" i="8"/>
  <c r="B2" i="13"/>
  <c r="E2" i="13"/>
  <c r="D2" i="13"/>
  <c r="C2" i="13"/>
  <c r="B1" i="1"/>
  <c r="A1" i="1"/>
  <c r="B87" i="8"/>
  <c r="B79" i="8"/>
  <c r="B87" i="7"/>
  <c r="B79" i="7"/>
  <c r="B87" i="1"/>
  <c r="B79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B87" i="12"/>
  <c r="B79" i="12"/>
  <c r="L126" i="8"/>
  <c r="L125" i="8"/>
  <c r="L126" i="7"/>
  <c r="L125" i="7"/>
  <c r="L126" i="12"/>
  <c r="L125" i="12"/>
  <c r="L130" i="8"/>
  <c r="L129" i="8"/>
  <c r="B130" i="8"/>
  <c r="B129" i="8"/>
  <c r="K129" i="8"/>
  <c r="L130" i="7"/>
  <c r="L129" i="7"/>
  <c r="B130" i="7"/>
  <c r="B129" i="7"/>
  <c r="K129" i="7"/>
  <c r="L130" i="12"/>
  <c r="L129" i="12"/>
  <c r="B130" i="12"/>
  <c r="B129" i="12"/>
  <c r="K129" i="12"/>
  <c r="J108" i="12"/>
  <c r="J109" i="12"/>
  <c r="J110" i="12"/>
  <c r="J111" i="12"/>
  <c r="J112" i="12"/>
  <c r="J113" i="12"/>
  <c r="J114" i="12"/>
  <c r="J115" i="12"/>
  <c r="J116" i="12"/>
  <c r="J117" i="12"/>
  <c r="J118" i="12"/>
  <c r="L125" i="1"/>
  <c r="L126" i="1"/>
  <c r="L130" i="1"/>
  <c r="L129" i="1"/>
  <c r="B130" i="1"/>
  <c r="B129" i="1"/>
  <c r="B75" i="1"/>
  <c r="L75" i="12"/>
  <c r="M20" i="8"/>
  <c r="M11" i="8"/>
  <c r="M21" i="8"/>
  <c r="M22" i="8"/>
  <c r="M23" i="8"/>
  <c r="M24" i="8"/>
  <c r="J107" i="8"/>
  <c r="M107" i="8"/>
  <c r="M20" i="7"/>
  <c r="M11" i="7"/>
  <c r="M21" i="7"/>
  <c r="M22" i="7"/>
  <c r="M23" i="7"/>
  <c r="M24" i="7"/>
  <c r="M108" i="12"/>
  <c r="M109" i="12"/>
  <c r="M110" i="12"/>
  <c r="M111" i="12"/>
  <c r="M112" i="12"/>
  <c r="M113" i="12"/>
  <c r="M114" i="12"/>
  <c r="M115" i="12"/>
  <c r="M116" i="12"/>
  <c r="M117" i="12"/>
  <c r="M118" i="12"/>
  <c r="M20" i="12"/>
  <c r="M21" i="12"/>
  <c r="M22" i="12"/>
  <c r="M23" i="12"/>
  <c r="M24" i="12"/>
  <c r="M16" i="12"/>
  <c r="M17" i="12"/>
  <c r="M18" i="12"/>
  <c r="M19" i="12"/>
  <c r="M25" i="12"/>
  <c r="M18" i="7"/>
  <c r="M19" i="7"/>
  <c r="M25" i="7"/>
  <c r="M18" i="8"/>
  <c r="M19" i="8"/>
  <c r="M25" i="8"/>
  <c r="I127" i="8"/>
  <c r="I73" i="8"/>
  <c r="B32" i="8"/>
  <c r="I125" i="8"/>
  <c r="I71" i="8"/>
  <c r="I126" i="8"/>
  <c r="I72" i="8"/>
  <c r="M20" i="1"/>
  <c r="M11" i="1"/>
  <c r="M21" i="1"/>
  <c r="M22" i="1"/>
  <c r="M23" i="1"/>
  <c r="M24" i="1"/>
  <c r="J107" i="1"/>
  <c r="M107" i="1"/>
  <c r="M18" i="1"/>
  <c r="M19" i="1"/>
  <c r="M25" i="1"/>
  <c r="E70" i="7"/>
  <c r="E70" i="8"/>
  <c r="F9" i="8"/>
  <c r="E71" i="7"/>
  <c r="E71" i="8"/>
  <c r="E72" i="7"/>
  <c r="E72" i="8"/>
  <c r="E29" i="7"/>
  <c r="E29" i="8"/>
  <c r="H29" i="8"/>
  <c r="E28" i="7"/>
  <c r="E28" i="8"/>
  <c r="H28" i="8"/>
  <c r="F9" i="7"/>
  <c r="H29" i="7"/>
  <c r="H28" i="7"/>
  <c r="F9" i="12"/>
  <c r="E70" i="12"/>
  <c r="E29" i="12"/>
  <c r="H29" i="12"/>
  <c r="AA82" i="12"/>
  <c r="AC82" i="12"/>
  <c r="AE82" i="12"/>
  <c r="AG82" i="12"/>
  <c r="AH82" i="12"/>
  <c r="AF82" i="12"/>
  <c r="AG83" i="12"/>
  <c r="AD82" i="12"/>
  <c r="AE83" i="12"/>
  <c r="AB82" i="12"/>
  <c r="AC83" i="12"/>
  <c r="Z82" i="12"/>
  <c r="AA83" i="12"/>
  <c r="E50" i="12"/>
  <c r="E51" i="12"/>
  <c r="F51" i="12"/>
  <c r="E52" i="12"/>
  <c r="E53" i="12"/>
  <c r="F53" i="12"/>
  <c r="E54" i="12"/>
  <c r="F54" i="12"/>
  <c r="E55" i="12"/>
  <c r="F55" i="12"/>
  <c r="E56" i="12"/>
  <c r="F56" i="12"/>
  <c r="E57" i="12"/>
  <c r="F57" i="12"/>
  <c r="E58" i="12"/>
  <c r="F58" i="12"/>
  <c r="E59" i="12"/>
  <c r="F59" i="12"/>
  <c r="E60" i="12"/>
  <c r="F60" i="12"/>
  <c r="E61" i="12"/>
  <c r="F61" i="12"/>
  <c r="E62" i="12"/>
  <c r="F62" i="12"/>
  <c r="E63" i="12"/>
  <c r="F63" i="12"/>
  <c r="E64" i="12"/>
  <c r="F64" i="12"/>
  <c r="E30" i="12"/>
  <c r="E11" i="12"/>
  <c r="H11" i="12"/>
  <c r="E12" i="12"/>
  <c r="H12" i="12"/>
  <c r="E13" i="12"/>
  <c r="H13" i="12"/>
  <c r="E14" i="12"/>
  <c r="H14" i="12"/>
  <c r="E15" i="12"/>
  <c r="H15" i="12"/>
  <c r="E16" i="12"/>
  <c r="H16" i="12"/>
  <c r="E17" i="12"/>
  <c r="H17" i="12"/>
  <c r="E18" i="12"/>
  <c r="H18" i="12"/>
  <c r="E19" i="12"/>
  <c r="H19" i="12"/>
  <c r="E20" i="12"/>
  <c r="H20" i="12"/>
  <c r="E21" i="12"/>
  <c r="H21" i="12"/>
  <c r="E22" i="12"/>
  <c r="H22" i="12"/>
  <c r="E23" i="12"/>
  <c r="H23" i="12"/>
  <c r="E24" i="12"/>
  <c r="H24" i="12"/>
  <c r="E25" i="12"/>
  <c r="H25" i="12"/>
  <c r="E26" i="12"/>
  <c r="H26" i="12"/>
  <c r="E27" i="12"/>
  <c r="H27" i="12"/>
  <c r="E28" i="12"/>
  <c r="H28" i="12"/>
  <c r="E71" i="12"/>
  <c r="E72" i="12"/>
  <c r="E73" i="12"/>
  <c r="Z6" i="12"/>
  <c r="X7" i="12"/>
  <c r="AA7" i="12"/>
  <c r="Z12" i="12"/>
  <c r="Z13" i="12"/>
  <c r="Z14" i="12"/>
  <c r="Z15" i="12"/>
  <c r="Z24" i="12"/>
  <c r="AA24" i="12"/>
  <c r="Z25" i="12"/>
  <c r="AA25" i="12"/>
  <c r="Z26" i="12"/>
  <c r="Z27" i="12"/>
  <c r="Z28" i="12"/>
  <c r="Z29" i="12"/>
  <c r="X8" i="12"/>
  <c r="X9" i="12"/>
  <c r="X10" i="12"/>
  <c r="X11" i="12"/>
  <c r="Z70" i="12"/>
  <c r="Z42" i="12"/>
  <c r="Z43" i="12"/>
  <c r="Z44" i="12"/>
  <c r="Z45" i="12"/>
  <c r="Z46" i="12"/>
  <c r="Z47" i="12"/>
  <c r="Z48" i="12"/>
  <c r="Z49" i="12"/>
  <c r="Z50" i="12"/>
  <c r="Z51" i="12"/>
  <c r="J52" i="12"/>
  <c r="Z52" i="12"/>
  <c r="AA52" i="12"/>
  <c r="J58" i="12"/>
  <c r="Z58" i="12"/>
  <c r="AA58" i="12"/>
  <c r="J59" i="12"/>
  <c r="Z59" i="12"/>
  <c r="AA59" i="12"/>
  <c r="J60" i="12"/>
  <c r="Z60" i="12"/>
  <c r="AA60" i="12"/>
  <c r="J61" i="12"/>
  <c r="Z61" i="12"/>
  <c r="AA61" i="12"/>
  <c r="J62" i="12"/>
  <c r="Z62" i="12"/>
  <c r="AA62" i="12"/>
  <c r="J63" i="12"/>
  <c r="Z63" i="12"/>
  <c r="AA63" i="12"/>
  <c r="J64" i="12"/>
  <c r="Z64" i="12"/>
  <c r="AA64" i="12"/>
  <c r="AB6" i="12"/>
  <c r="AB12" i="12"/>
  <c r="AB13" i="12"/>
  <c r="AB14" i="12"/>
  <c r="AB15" i="12"/>
  <c r="AB24" i="12"/>
  <c r="AC24" i="12"/>
  <c r="AB25" i="12"/>
  <c r="AC25" i="12"/>
  <c r="AB26" i="12"/>
  <c r="AB27" i="12"/>
  <c r="AB28" i="12"/>
  <c r="AB29" i="12"/>
  <c r="AD6" i="12"/>
  <c r="AD12" i="12"/>
  <c r="AD13" i="12"/>
  <c r="AD14" i="12"/>
  <c r="AD15" i="12"/>
  <c r="AD24" i="12"/>
  <c r="AE24" i="12"/>
  <c r="AD25" i="12"/>
  <c r="AE25" i="12"/>
  <c r="AD26" i="12"/>
  <c r="AD27" i="12"/>
  <c r="AD28" i="12"/>
  <c r="AD29" i="12"/>
  <c r="AC7" i="12"/>
  <c r="AB42" i="12"/>
  <c r="AD42" i="12"/>
  <c r="AF42" i="12"/>
  <c r="AB43" i="12"/>
  <c r="AD43" i="12"/>
  <c r="AF43" i="12"/>
  <c r="AB44" i="12"/>
  <c r="AD44" i="12"/>
  <c r="AF44" i="12"/>
  <c r="AB45" i="12"/>
  <c r="AD45" i="12"/>
  <c r="AF45" i="12"/>
  <c r="AB46" i="12"/>
  <c r="AD46" i="12"/>
  <c r="AF46" i="12"/>
  <c r="AB47" i="12"/>
  <c r="AD47" i="12"/>
  <c r="AF47" i="12"/>
  <c r="AB48" i="12"/>
  <c r="AD48" i="12"/>
  <c r="AF48" i="12"/>
  <c r="AB49" i="12"/>
  <c r="AD49" i="12"/>
  <c r="AF49" i="12"/>
  <c r="AB50" i="12"/>
  <c r="AD50" i="12"/>
  <c r="AF50" i="12"/>
  <c r="AB51" i="12"/>
  <c r="AD51" i="12"/>
  <c r="AF51" i="12"/>
  <c r="AB52" i="12"/>
  <c r="AD52" i="12"/>
  <c r="AF52" i="12"/>
  <c r="AG52" i="12"/>
  <c r="AB58" i="12"/>
  <c r="AD58" i="12"/>
  <c r="AF58" i="12"/>
  <c r="AG58" i="12"/>
  <c r="AB59" i="12"/>
  <c r="AD59" i="12"/>
  <c r="AF59" i="12"/>
  <c r="AG59" i="12"/>
  <c r="AB60" i="12"/>
  <c r="AD60" i="12"/>
  <c r="AF60" i="12"/>
  <c r="AG60" i="12"/>
  <c r="AB61" i="12"/>
  <c r="AD61" i="12"/>
  <c r="AF61" i="12"/>
  <c r="AG61" i="12"/>
  <c r="AB62" i="12"/>
  <c r="AD62" i="12"/>
  <c r="AF62" i="12"/>
  <c r="AG62" i="12"/>
  <c r="AB63" i="12"/>
  <c r="AD63" i="12"/>
  <c r="AF63" i="12"/>
  <c r="AG63" i="12"/>
  <c r="AB64" i="12"/>
  <c r="AD64" i="12"/>
  <c r="AF64" i="12"/>
  <c r="AG64" i="12"/>
  <c r="AF6" i="12"/>
  <c r="AE7" i="12"/>
  <c r="AF12" i="12"/>
  <c r="AF13" i="12"/>
  <c r="AF14" i="12"/>
  <c r="AF15" i="12"/>
  <c r="AF24" i="12"/>
  <c r="AG24" i="12"/>
  <c r="AF25" i="12"/>
  <c r="AG25" i="12"/>
  <c r="AF26" i="12"/>
  <c r="AF27" i="12"/>
  <c r="AF28" i="12"/>
  <c r="AF29" i="12"/>
  <c r="AF70" i="12"/>
  <c r="B32" i="12"/>
  <c r="AB70" i="12"/>
  <c r="AC52" i="12"/>
  <c r="AC58" i="12"/>
  <c r="AC59" i="12"/>
  <c r="AC60" i="12"/>
  <c r="AC61" i="12"/>
  <c r="AC62" i="12"/>
  <c r="AC63" i="12"/>
  <c r="AC64" i="12"/>
  <c r="AD70" i="12"/>
  <c r="AE52" i="12"/>
  <c r="AE58" i="12"/>
  <c r="AE59" i="12"/>
  <c r="AE60" i="12"/>
  <c r="AE61" i="12"/>
  <c r="AE62" i="12"/>
  <c r="AE63" i="12"/>
  <c r="AE64" i="12"/>
  <c r="Y24" i="12"/>
  <c r="Y25" i="12"/>
  <c r="H73" i="12"/>
  <c r="AG83" i="1"/>
  <c r="AE83" i="1"/>
  <c r="AC83" i="1"/>
  <c r="AA83" i="1"/>
  <c r="AA7" i="1"/>
  <c r="AA18" i="1"/>
  <c r="AA19" i="1"/>
  <c r="AA20" i="1"/>
  <c r="AA21" i="1"/>
  <c r="AA22" i="1"/>
  <c r="AA23" i="1"/>
  <c r="AA24" i="1"/>
  <c r="AA25" i="1"/>
  <c r="AC7" i="1"/>
  <c r="AC18" i="1"/>
  <c r="AC19" i="1"/>
  <c r="AC20" i="1"/>
  <c r="AC21" i="1"/>
  <c r="AC22" i="1"/>
  <c r="AC23" i="1"/>
  <c r="AC24" i="1"/>
  <c r="AC25" i="1"/>
  <c r="AE7" i="1"/>
  <c r="AE18" i="1"/>
  <c r="AE19" i="1"/>
  <c r="AE20" i="1"/>
  <c r="AE21" i="1"/>
  <c r="AE22" i="1"/>
  <c r="AE23" i="1"/>
  <c r="AE24" i="1"/>
  <c r="AE25" i="1"/>
  <c r="AG18" i="1"/>
  <c r="AG19" i="1"/>
  <c r="AG20" i="1"/>
  <c r="AG21" i="1"/>
  <c r="AG22" i="1"/>
  <c r="AG23" i="1"/>
  <c r="AG24" i="1"/>
  <c r="AG25" i="1"/>
  <c r="B32" i="1"/>
  <c r="Y18" i="1"/>
  <c r="Y19" i="1"/>
  <c r="Y20" i="1"/>
  <c r="Y21" i="1"/>
  <c r="Y22" i="1"/>
  <c r="Y23" i="1"/>
  <c r="Y24" i="1"/>
  <c r="Y25" i="1"/>
  <c r="AA82" i="7"/>
  <c r="AC82" i="7"/>
  <c r="AE82" i="7"/>
  <c r="AG82" i="7"/>
  <c r="AH82" i="7"/>
  <c r="AF82" i="7"/>
  <c r="AG83" i="7"/>
  <c r="AD82" i="7"/>
  <c r="AE83" i="7"/>
  <c r="AB82" i="7"/>
  <c r="AC83" i="7"/>
  <c r="Z82" i="7"/>
  <c r="AA83" i="7"/>
  <c r="E50" i="7"/>
  <c r="E51" i="7"/>
  <c r="F51" i="7"/>
  <c r="E52" i="7"/>
  <c r="E53" i="7"/>
  <c r="F53" i="7"/>
  <c r="E54" i="7"/>
  <c r="F54" i="7"/>
  <c r="E55" i="7"/>
  <c r="F55" i="7"/>
  <c r="E56" i="7"/>
  <c r="F56" i="7"/>
  <c r="E57" i="7"/>
  <c r="F57" i="7"/>
  <c r="E58" i="7"/>
  <c r="F58" i="7"/>
  <c r="E59" i="7"/>
  <c r="F59" i="7"/>
  <c r="E60" i="7"/>
  <c r="F60" i="7"/>
  <c r="E61" i="7"/>
  <c r="F61" i="7"/>
  <c r="E62" i="7"/>
  <c r="F62" i="7"/>
  <c r="E63" i="7"/>
  <c r="F63" i="7"/>
  <c r="E64" i="7"/>
  <c r="F64" i="7"/>
  <c r="E30" i="7"/>
  <c r="E11" i="7"/>
  <c r="H11" i="7"/>
  <c r="E12" i="7"/>
  <c r="H12" i="7"/>
  <c r="E13" i="7"/>
  <c r="H13" i="7"/>
  <c r="E14" i="7"/>
  <c r="H14" i="7"/>
  <c r="E15" i="7"/>
  <c r="H15" i="7"/>
  <c r="E16" i="7"/>
  <c r="H16" i="7"/>
  <c r="E17" i="7"/>
  <c r="H17" i="7"/>
  <c r="E18" i="7"/>
  <c r="H18" i="7"/>
  <c r="E19" i="7"/>
  <c r="H19" i="7"/>
  <c r="E20" i="7"/>
  <c r="H20" i="7"/>
  <c r="E21" i="7"/>
  <c r="H21" i="7"/>
  <c r="E22" i="7"/>
  <c r="H22" i="7"/>
  <c r="E23" i="7"/>
  <c r="H23" i="7"/>
  <c r="E24" i="7"/>
  <c r="H24" i="7"/>
  <c r="E25" i="7"/>
  <c r="H25" i="7"/>
  <c r="E26" i="7"/>
  <c r="H26" i="7"/>
  <c r="E27" i="7"/>
  <c r="H27" i="7"/>
  <c r="E73" i="7"/>
  <c r="Z6" i="7"/>
  <c r="X7" i="7"/>
  <c r="AA7" i="7"/>
  <c r="Z12" i="7"/>
  <c r="Z13" i="7"/>
  <c r="Z14" i="7"/>
  <c r="Z15" i="7"/>
  <c r="Z16" i="7"/>
  <c r="Z17" i="7"/>
  <c r="Z26" i="7"/>
  <c r="Z27" i="7"/>
  <c r="Z28" i="7"/>
  <c r="Z29" i="7"/>
  <c r="X8" i="7"/>
  <c r="X9" i="7"/>
  <c r="X10" i="7"/>
  <c r="X11" i="7"/>
  <c r="Z70" i="7"/>
  <c r="Z42" i="7"/>
  <c r="Z43" i="7"/>
  <c r="Z44" i="7"/>
  <c r="Z45" i="7"/>
  <c r="Z46" i="7"/>
  <c r="Z47" i="7"/>
  <c r="Z48" i="7"/>
  <c r="Z49" i="7"/>
  <c r="Z50" i="7"/>
  <c r="Z51" i="7"/>
  <c r="Z52" i="7"/>
  <c r="Z58" i="7"/>
  <c r="Z59" i="7"/>
  <c r="Z60" i="7"/>
  <c r="Z61" i="7"/>
  <c r="Z62" i="7"/>
  <c r="Z63" i="7"/>
  <c r="Z64" i="7"/>
  <c r="AB6" i="7"/>
  <c r="AC7" i="7"/>
  <c r="AB12" i="7"/>
  <c r="AB13" i="7"/>
  <c r="AB14" i="7"/>
  <c r="AB15" i="7"/>
  <c r="AB16" i="7"/>
  <c r="AB17" i="7"/>
  <c r="AB26" i="7"/>
  <c r="AB27" i="7"/>
  <c r="AB28" i="7"/>
  <c r="AB29" i="7"/>
  <c r="AB70" i="7"/>
  <c r="AB42" i="7"/>
  <c r="AB43" i="7"/>
  <c r="AB44" i="7"/>
  <c r="AB45" i="7"/>
  <c r="AB46" i="7"/>
  <c r="AB47" i="7"/>
  <c r="AB48" i="7"/>
  <c r="AB49" i="7"/>
  <c r="AB50" i="7"/>
  <c r="AB51" i="7"/>
  <c r="AB52" i="7"/>
  <c r="AB58" i="7"/>
  <c r="AB59" i="7"/>
  <c r="AB60" i="7"/>
  <c r="AB61" i="7"/>
  <c r="AB62" i="7"/>
  <c r="AB63" i="7"/>
  <c r="AB64" i="7"/>
  <c r="AD6" i="7"/>
  <c r="AE7" i="7"/>
  <c r="AD12" i="7"/>
  <c r="AD13" i="7"/>
  <c r="AD14" i="7"/>
  <c r="AD15" i="7"/>
  <c r="AD16" i="7"/>
  <c r="AD17" i="7"/>
  <c r="AD26" i="7"/>
  <c r="AD27" i="7"/>
  <c r="AD28" i="7"/>
  <c r="AD29" i="7"/>
  <c r="AD70" i="7"/>
  <c r="AD42" i="7"/>
  <c r="AD43" i="7"/>
  <c r="AD44" i="7"/>
  <c r="AD45" i="7"/>
  <c r="AD46" i="7"/>
  <c r="AD47" i="7"/>
  <c r="AD48" i="7"/>
  <c r="AD49" i="7"/>
  <c r="AD50" i="7"/>
  <c r="AD51" i="7"/>
  <c r="AD52" i="7"/>
  <c r="AD58" i="7"/>
  <c r="AD59" i="7"/>
  <c r="AD60" i="7"/>
  <c r="AD61" i="7"/>
  <c r="AD62" i="7"/>
  <c r="AD63" i="7"/>
  <c r="AD64" i="7"/>
  <c r="AF42" i="7"/>
  <c r="AF43" i="7"/>
  <c r="AF44" i="7"/>
  <c r="AF45" i="7"/>
  <c r="AF46" i="7"/>
  <c r="AF47" i="7"/>
  <c r="AF48" i="7"/>
  <c r="AF49" i="7"/>
  <c r="AF50" i="7"/>
  <c r="AF51" i="7"/>
  <c r="AF52" i="7"/>
  <c r="AF58" i="7"/>
  <c r="AF59" i="7"/>
  <c r="AF60" i="7"/>
  <c r="AF61" i="7"/>
  <c r="AF62" i="7"/>
  <c r="AF63" i="7"/>
  <c r="AF64" i="7"/>
  <c r="AF6" i="7"/>
  <c r="AF12" i="7"/>
  <c r="AF13" i="7"/>
  <c r="AF14" i="7"/>
  <c r="AF15" i="7"/>
  <c r="AF16" i="7"/>
  <c r="AF17" i="7"/>
  <c r="AF26" i="7"/>
  <c r="AF27" i="7"/>
  <c r="AF28" i="7"/>
  <c r="AF29" i="7"/>
  <c r="AF70" i="7"/>
  <c r="B32" i="7"/>
  <c r="H73" i="7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53" i="7"/>
  <c r="D54" i="7"/>
  <c r="D55" i="7"/>
  <c r="D56" i="7"/>
  <c r="D57" i="7"/>
  <c r="D58" i="7"/>
  <c r="D59" i="7"/>
  <c r="D60" i="7"/>
  <c r="D61" i="7"/>
  <c r="D62" i="7"/>
  <c r="D63" i="7"/>
  <c r="D64" i="7"/>
  <c r="D53" i="12"/>
  <c r="D54" i="12"/>
  <c r="D55" i="12"/>
  <c r="D56" i="12"/>
  <c r="D57" i="12"/>
  <c r="D58" i="12"/>
  <c r="D59" i="12"/>
  <c r="D60" i="12"/>
  <c r="D61" i="12"/>
  <c r="D62" i="12"/>
  <c r="D63" i="12"/>
  <c r="D64" i="12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48" i="1"/>
  <c r="E25" i="8"/>
  <c r="H25" i="8"/>
  <c r="E26" i="8"/>
  <c r="H26" i="8"/>
  <c r="E27" i="8"/>
  <c r="H27" i="8"/>
  <c r="E50" i="8"/>
  <c r="E51" i="8"/>
  <c r="F51" i="8"/>
  <c r="E52" i="8"/>
  <c r="E53" i="8"/>
  <c r="F53" i="8"/>
  <c r="E54" i="8"/>
  <c r="F54" i="8"/>
  <c r="E55" i="8"/>
  <c r="F55" i="8"/>
  <c r="E56" i="8"/>
  <c r="F56" i="8"/>
  <c r="E57" i="8"/>
  <c r="F57" i="8"/>
  <c r="E58" i="8"/>
  <c r="F58" i="8"/>
  <c r="E59" i="8"/>
  <c r="F59" i="8"/>
  <c r="E60" i="8"/>
  <c r="F60" i="8"/>
  <c r="E61" i="8"/>
  <c r="F61" i="8"/>
  <c r="E62" i="8"/>
  <c r="F62" i="8"/>
  <c r="E63" i="8"/>
  <c r="F63" i="8"/>
  <c r="E64" i="8"/>
  <c r="F64" i="8"/>
  <c r="E30" i="8"/>
  <c r="E11" i="8"/>
  <c r="H11" i="8"/>
  <c r="E12" i="8"/>
  <c r="H12" i="8"/>
  <c r="E13" i="8"/>
  <c r="H13" i="8"/>
  <c r="E14" i="8"/>
  <c r="H14" i="8"/>
  <c r="E15" i="8"/>
  <c r="H15" i="8"/>
  <c r="E16" i="8"/>
  <c r="H16" i="8"/>
  <c r="E17" i="8"/>
  <c r="H17" i="8"/>
  <c r="E18" i="8"/>
  <c r="H18" i="8"/>
  <c r="E19" i="8"/>
  <c r="H19" i="8"/>
  <c r="E20" i="8"/>
  <c r="H20" i="8"/>
  <c r="E21" i="8"/>
  <c r="H21" i="8"/>
  <c r="E22" i="8"/>
  <c r="H22" i="8"/>
  <c r="E23" i="8"/>
  <c r="H23" i="8"/>
  <c r="E24" i="8"/>
  <c r="H24" i="8"/>
  <c r="E73" i="8"/>
  <c r="A38" i="8"/>
  <c r="A92" i="8"/>
  <c r="A39" i="8"/>
  <c r="A93" i="8"/>
  <c r="A40" i="8"/>
  <c r="A94" i="8"/>
  <c r="A41" i="8"/>
  <c r="A95" i="8"/>
  <c r="A42" i="8"/>
  <c r="A96" i="8"/>
  <c r="A43" i="8"/>
  <c r="A97" i="8"/>
  <c r="A44" i="8"/>
  <c r="A98" i="8"/>
  <c r="A45" i="8"/>
  <c r="A99" i="8"/>
  <c r="A46" i="8"/>
  <c r="A100" i="8"/>
  <c r="A47" i="8"/>
  <c r="A101" i="8"/>
  <c r="A48" i="8"/>
  <c r="A102" i="8"/>
  <c r="A49" i="8"/>
  <c r="A103" i="8"/>
  <c r="A50" i="8"/>
  <c r="A104" i="8"/>
  <c r="A51" i="8"/>
  <c r="A105" i="8"/>
  <c r="A52" i="8"/>
  <c r="A106" i="8"/>
  <c r="A53" i="8"/>
  <c r="A107" i="8"/>
  <c r="A54" i="8"/>
  <c r="A108" i="8"/>
  <c r="A55" i="8"/>
  <c r="A109" i="8"/>
  <c r="A56" i="8"/>
  <c r="A110" i="8"/>
  <c r="A57" i="8"/>
  <c r="A111" i="8"/>
  <c r="A58" i="8"/>
  <c r="A112" i="8"/>
  <c r="A59" i="8"/>
  <c r="A113" i="8"/>
  <c r="A60" i="8"/>
  <c r="A114" i="8"/>
  <c r="A61" i="8"/>
  <c r="A115" i="8"/>
  <c r="A62" i="8"/>
  <c r="A116" i="8"/>
  <c r="A63" i="8"/>
  <c r="A117" i="8"/>
  <c r="A64" i="8"/>
  <c r="A118" i="8"/>
  <c r="H53" i="8"/>
  <c r="I53" i="8"/>
  <c r="B65" i="8"/>
  <c r="K53" i="8"/>
  <c r="L53" i="8"/>
  <c r="H54" i="8"/>
  <c r="I54" i="8"/>
  <c r="K54" i="8"/>
  <c r="L54" i="8"/>
  <c r="H55" i="8"/>
  <c r="I55" i="8"/>
  <c r="K55" i="8"/>
  <c r="L55" i="8"/>
  <c r="H56" i="8"/>
  <c r="I56" i="8"/>
  <c r="K56" i="8"/>
  <c r="L56" i="8"/>
  <c r="H57" i="8"/>
  <c r="I57" i="8"/>
  <c r="K57" i="8"/>
  <c r="L57" i="8"/>
  <c r="H58" i="8"/>
  <c r="I58" i="8"/>
  <c r="K58" i="8"/>
  <c r="L58" i="8"/>
  <c r="H59" i="8"/>
  <c r="I59" i="8"/>
  <c r="K59" i="8"/>
  <c r="L59" i="8"/>
  <c r="H60" i="8"/>
  <c r="I60" i="8"/>
  <c r="K60" i="8"/>
  <c r="L60" i="8"/>
  <c r="H61" i="8"/>
  <c r="I61" i="8"/>
  <c r="K61" i="8"/>
  <c r="L61" i="8"/>
  <c r="H62" i="8"/>
  <c r="I62" i="8"/>
  <c r="K62" i="8"/>
  <c r="L62" i="8"/>
  <c r="H63" i="8"/>
  <c r="I63" i="8"/>
  <c r="K63" i="8"/>
  <c r="L63" i="8"/>
  <c r="H64" i="8"/>
  <c r="I64" i="8"/>
  <c r="K64" i="8"/>
  <c r="L64" i="8"/>
  <c r="A18" i="8"/>
  <c r="A19" i="8"/>
  <c r="A20" i="8"/>
  <c r="A21" i="8"/>
  <c r="A22" i="8"/>
  <c r="A23" i="8"/>
  <c r="A24" i="8"/>
  <c r="A25" i="8"/>
  <c r="H38" i="7"/>
  <c r="D38" i="7"/>
  <c r="I38" i="7"/>
  <c r="B65" i="7"/>
  <c r="K38" i="7"/>
  <c r="L38" i="7"/>
  <c r="H39" i="7"/>
  <c r="D39" i="7"/>
  <c r="I39" i="7"/>
  <c r="K39" i="7"/>
  <c r="L39" i="7"/>
  <c r="H40" i="7"/>
  <c r="D40" i="7"/>
  <c r="I40" i="7"/>
  <c r="K40" i="7"/>
  <c r="L40" i="7"/>
  <c r="H41" i="7"/>
  <c r="D41" i="7"/>
  <c r="I41" i="7"/>
  <c r="K41" i="7"/>
  <c r="L41" i="7"/>
  <c r="H42" i="7"/>
  <c r="D42" i="7"/>
  <c r="I42" i="7"/>
  <c r="K42" i="7"/>
  <c r="L42" i="7"/>
  <c r="H43" i="7"/>
  <c r="D43" i="7"/>
  <c r="I43" i="7"/>
  <c r="K43" i="7"/>
  <c r="L43" i="7"/>
  <c r="H44" i="7"/>
  <c r="D44" i="7"/>
  <c r="I44" i="7"/>
  <c r="K44" i="7"/>
  <c r="L44" i="7"/>
  <c r="H45" i="7"/>
  <c r="D45" i="7"/>
  <c r="I45" i="7"/>
  <c r="K45" i="7"/>
  <c r="L45" i="7"/>
  <c r="H46" i="7"/>
  <c r="D46" i="7"/>
  <c r="I46" i="7"/>
  <c r="K46" i="7"/>
  <c r="L46" i="7"/>
  <c r="H47" i="7"/>
  <c r="D47" i="7"/>
  <c r="I47" i="7"/>
  <c r="K47" i="7"/>
  <c r="L47" i="7"/>
  <c r="H48" i="7"/>
  <c r="D48" i="7"/>
  <c r="I48" i="7"/>
  <c r="K48" i="7"/>
  <c r="L48" i="7"/>
  <c r="H49" i="7"/>
  <c r="D49" i="7"/>
  <c r="I49" i="7"/>
  <c r="K49" i="7"/>
  <c r="L49" i="7"/>
  <c r="H50" i="7"/>
  <c r="D50" i="7"/>
  <c r="I50" i="7"/>
  <c r="K50" i="7"/>
  <c r="L50" i="7"/>
  <c r="H51" i="7"/>
  <c r="D51" i="7"/>
  <c r="I51" i="7"/>
  <c r="K51" i="7"/>
  <c r="L51" i="7"/>
  <c r="H52" i="7"/>
  <c r="D52" i="7"/>
  <c r="I52" i="7"/>
  <c r="K52" i="7"/>
  <c r="L52" i="7"/>
  <c r="H53" i="7"/>
  <c r="I53" i="7"/>
  <c r="K53" i="7"/>
  <c r="L53" i="7"/>
  <c r="H54" i="7"/>
  <c r="I54" i="7"/>
  <c r="K54" i="7"/>
  <c r="L54" i="7"/>
  <c r="H55" i="7"/>
  <c r="I55" i="7"/>
  <c r="K55" i="7"/>
  <c r="L55" i="7"/>
  <c r="H56" i="7"/>
  <c r="I56" i="7"/>
  <c r="K56" i="7"/>
  <c r="L56" i="7"/>
  <c r="H57" i="7"/>
  <c r="I57" i="7"/>
  <c r="K57" i="7"/>
  <c r="L57" i="7"/>
  <c r="H58" i="7"/>
  <c r="I58" i="7"/>
  <c r="K58" i="7"/>
  <c r="L58" i="7"/>
  <c r="H59" i="7"/>
  <c r="I59" i="7"/>
  <c r="K59" i="7"/>
  <c r="L59" i="7"/>
  <c r="H60" i="7"/>
  <c r="I60" i="7"/>
  <c r="K60" i="7"/>
  <c r="L60" i="7"/>
  <c r="H61" i="7"/>
  <c r="I61" i="7"/>
  <c r="K61" i="7"/>
  <c r="L61" i="7"/>
  <c r="H62" i="7"/>
  <c r="I62" i="7"/>
  <c r="K62" i="7"/>
  <c r="L62" i="7"/>
  <c r="H63" i="7"/>
  <c r="I63" i="7"/>
  <c r="K63" i="7"/>
  <c r="L63" i="7"/>
  <c r="H64" i="7"/>
  <c r="I64" i="7"/>
  <c r="K64" i="7"/>
  <c r="L64" i="7"/>
  <c r="A38" i="7"/>
  <c r="A92" i="7"/>
  <c r="A39" i="7"/>
  <c r="A93" i="7"/>
  <c r="A40" i="7"/>
  <c r="A94" i="7"/>
  <c r="A41" i="7"/>
  <c r="A95" i="7"/>
  <c r="A42" i="7"/>
  <c r="A96" i="7"/>
  <c r="A43" i="7"/>
  <c r="A97" i="7"/>
  <c r="A44" i="7"/>
  <c r="A98" i="7"/>
  <c r="A45" i="7"/>
  <c r="A99" i="7"/>
  <c r="A46" i="7"/>
  <c r="A100" i="7"/>
  <c r="A47" i="7"/>
  <c r="A101" i="7"/>
  <c r="A48" i="7"/>
  <c r="A102" i="7"/>
  <c r="A49" i="7"/>
  <c r="A103" i="7"/>
  <c r="A50" i="7"/>
  <c r="A104" i="7"/>
  <c r="A51" i="7"/>
  <c r="A105" i="7"/>
  <c r="A52" i="7"/>
  <c r="A106" i="7"/>
  <c r="A53" i="7"/>
  <c r="A107" i="7"/>
  <c r="A54" i="7"/>
  <c r="A108" i="7"/>
  <c r="A55" i="7"/>
  <c r="A109" i="7"/>
  <c r="A56" i="7"/>
  <c r="A110" i="7"/>
  <c r="A57" i="7"/>
  <c r="A111" i="7"/>
  <c r="A58" i="7"/>
  <c r="A112" i="7"/>
  <c r="A59" i="7"/>
  <c r="A113" i="7"/>
  <c r="A60" i="7"/>
  <c r="A114" i="7"/>
  <c r="A61" i="7"/>
  <c r="A115" i="7"/>
  <c r="A62" i="7"/>
  <c r="A116" i="7"/>
  <c r="A63" i="7"/>
  <c r="A117" i="7"/>
  <c r="A64" i="7"/>
  <c r="A118" i="7"/>
  <c r="A18" i="7"/>
  <c r="A19" i="7"/>
  <c r="A20" i="7"/>
  <c r="A21" i="7"/>
  <c r="A22" i="7"/>
  <c r="A23" i="7"/>
  <c r="A24" i="7"/>
  <c r="A25" i="7"/>
  <c r="J53" i="12"/>
  <c r="J54" i="12"/>
  <c r="J55" i="12"/>
  <c r="J56" i="12"/>
  <c r="J57" i="12"/>
  <c r="A53" i="12"/>
  <c r="A107" i="12"/>
  <c r="A54" i="12"/>
  <c r="A108" i="12"/>
  <c r="A55" i="12"/>
  <c r="A109" i="12"/>
  <c r="A56" i="12"/>
  <c r="A110" i="12"/>
  <c r="A57" i="12"/>
  <c r="A111" i="12"/>
  <c r="A58" i="12"/>
  <c r="A112" i="12"/>
  <c r="A59" i="12"/>
  <c r="A113" i="12"/>
  <c r="A60" i="12"/>
  <c r="A114" i="12"/>
  <c r="A61" i="12"/>
  <c r="A115" i="12"/>
  <c r="A62" i="12"/>
  <c r="A116" i="12"/>
  <c r="A63" i="12"/>
  <c r="A117" i="12"/>
  <c r="A64" i="12"/>
  <c r="A118" i="12"/>
  <c r="H38" i="12"/>
  <c r="D38" i="12"/>
  <c r="I38" i="12"/>
  <c r="B65" i="12"/>
  <c r="K38" i="12"/>
  <c r="L38" i="12"/>
  <c r="H39" i="12"/>
  <c r="D39" i="12"/>
  <c r="I39" i="12"/>
  <c r="K39" i="12"/>
  <c r="L39" i="12"/>
  <c r="H40" i="12"/>
  <c r="D40" i="12"/>
  <c r="I40" i="12"/>
  <c r="K40" i="12"/>
  <c r="L40" i="12"/>
  <c r="H41" i="12"/>
  <c r="D41" i="12"/>
  <c r="I41" i="12"/>
  <c r="K41" i="12"/>
  <c r="L41" i="12"/>
  <c r="H42" i="12"/>
  <c r="D42" i="12"/>
  <c r="I42" i="12"/>
  <c r="K42" i="12"/>
  <c r="L42" i="12"/>
  <c r="H43" i="12"/>
  <c r="D43" i="12"/>
  <c r="I43" i="12"/>
  <c r="K43" i="12"/>
  <c r="L43" i="12"/>
  <c r="H44" i="12"/>
  <c r="D44" i="12"/>
  <c r="I44" i="12"/>
  <c r="K44" i="12"/>
  <c r="L44" i="12"/>
  <c r="H45" i="12"/>
  <c r="D45" i="12"/>
  <c r="I45" i="12"/>
  <c r="K45" i="12"/>
  <c r="L45" i="12"/>
  <c r="H46" i="12"/>
  <c r="D46" i="12"/>
  <c r="I46" i="12"/>
  <c r="K46" i="12"/>
  <c r="L46" i="12"/>
  <c r="H47" i="12"/>
  <c r="D47" i="12"/>
  <c r="I47" i="12"/>
  <c r="K47" i="12"/>
  <c r="L47" i="12"/>
  <c r="H48" i="12"/>
  <c r="D48" i="12"/>
  <c r="I48" i="12"/>
  <c r="K48" i="12"/>
  <c r="L48" i="12"/>
  <c r="H49" i="12"/>
  <c r="D49" i="12"/>
  <c r="I49" i="12"/>
  <c r="K49" i="12"/>
  <c r="L49" i="12"/>
  <c r="H50" i="12"/>
  <c r="D50" i="12"/>
  <c r="I50" i="12"/>
  <c r="K50" i="12"/>
  <c r="L50" i="12"/>
  <c r="H51" i="12"/>
  <c r="D51" i="12"/>
  <c r="I51" i="12"/>
  <c r="K51" i="12"/>
  <c r="L51" i="12"/>
  <c r="H52" i="12"/>
  <c r="D52" i="12"/>
  <c r="I52" i="12"/>
  <c r="K52" i="12"/>
  <c r="L52" i="12"/>
  <c r="M52" i="12"/>
  <c r="H53" i="12"/>
  <c r="I53" i="12"/>
  <c r="K53" i="12"/>
  <c r="L53" i="12"/>
  <c r="M53" i="12"/>
  <c r="H54" i="12"/>
  <c r="I54" i="12"/>
  <c r="K54" i="12"/>
  <c r="L54" i="12"/>
  <c r="M54" i="12"/>
  <c r="H55" i="12"/>
  <c r="I55" i="12"/>
  <c r="K55" i="12"/>
  <c r="L55" i="12"/>
  <c r="M55" i="12"/>
  <c r="H56" i="12"/>
  <c r="I56" i="12"/>
  <c r="K56" i="12"/>
  <c r="L56" i="12"/>
  <c r="M56" i="12"/>
  <c r="H57" i="12"/>
  <c r="I57" i="12"/>
  <c r="K57" i="12"/>
  <c r="L57" i="12"/>
  <c r="M57" i="12"/>
  <c r="H58" i="12"/>
  <c r="I58" i="12"/>
  <c r="K58" i="12"/>
  <c r="L58" i="12"/>
  <c r="M58" i="12"/>
  <c r="H59" i="12"/>
  <c r="I59" i="12"/>
  <c r="K59" i="12"/>
  <c r="L59" i="12"/>
  <c r="M59" i="12"/>
  <c r="H60" i="12"/>
  <c r="I60" i="12"/>
  <c r="K60" i="12"/>
  <c r="L60" i="12"/>
  <c r="M60" i="12"/>
  <c r="H61" i="12"/>
  <c r="I61" i="12"/>
  <c r="K61" i="12"/>
  <c r="L61" i="12"/>
  <c r="M61" i="12"/>
  <c r="H62" i="12"/>
  <c r="I62" i="12"/>
  <c r="K62" i="12"/>
  <c r="L62" i="12"/>
  <c r="M62" i="12"/>
  <c r="H63" i="12"/>
  <c r="I63" i="12"/>
  <c r="K63" i="12"/>
  <c r="L63" i="12"/>
  <c r="M63" i="12"/>
  <c r="H64" i="12"/>
  <c r="I64" i="12"/>
  <c r="K64" i="12"/>
  <c r="L64" i="12"/>
  <c r="M64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16" i="12"/>
  <c r="A17" i="12"/>
  <c r="A18" i="12"/>
  <c r="A19" i="12"/>
  <c r="A20" i="12"/>
  <c r="A21" i="12"/>
  <c r="A22" i="12"/>
  <c r="A23" i="12"/>
  <c r="A24" i="12"/>
  <c r="A25" i="12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H50" i="1"/>
  <c r="I50" i="1"/>
  <c r="B65" i="1"/>
  <c r="K50" i="1"/>
  <c r="L50" i="1"/>
  <c r="H51" i="1"/>
  <c r="I51" i="1"/>
  <c r="K51" i="1"/>
  <c r="L51" i="1"/>
  <c r="H52" i="1"/>
  <c r="I52" i="1"/>
  <c r="K52" i="1"/>
  <c r="L52" i="1"/>
  <c r="H53" i="1"/>
  <c r="I53" i="1"/>
  <c r="K53" i="1"/>
  <c r="L53" i="1"/>
  <c r="H54" i="1"/>
  <c r="I54" i="1"/>
  <c r="K54" i="1"/>
  <c r="L54" i="1"/>
  <c r="H55" i="1"/>
  <c r="I55" i="1"/>
  <c r="K55" i="1"/>
  <c r="L55" i="1"/>
  <c r="H56" i="1"/>
  <c r="I56" i="1"/>
  <c r="K56" i="1"/>
  <c r="L56" i="1"/>
  <c r="H57" i="1"/>
  <c r="I57" i="1"/>
  <c r="K57" i="1"/>
  <c r="L57" i="1"/>
  <c r="H58" i="1"/>
  <c r="I58" i="1"/>
  <c r="K58" i="1"/>
  <c r="L58" i="1"/>
  <c r="H59" i="1"/>
  <c r="I59" i="1"/>
  <c r="K59" i="1"/>
  <c r="L59" i="1"/>
  <c r="H60" i="1"/>
  <c r="I60" i="1"/>
  <c r="K60" i="1"/>
  <c r="L60" i="1"/>
  <c r="H61" i="1"/>
  <c r="I61" i="1"/>
  <c r="K61" i="1"/>
  <c r="L61" i="1"/>
  <c r="H62" i="1"/>
  <c r="I62" i="1"/>
  <c r="K62" i="1"/>
  <c r="L62" i="1"/>
  <c r="H63" i="1"/>
  <c r="I63" i="1"/>
  <c r="K63" i="1"/>
  <c r="L63" i="1"/>
  <c r="H64" i="1"/>
  <c r="I64" i="1"/>
  <c r="K64" i="1"/>
  <c r="L64" i="1"/>
  <c r="AF25" i="1"/>
  <c r="AH25" i="1"/>
  <c r="AI25" i="1"/>
  <c r="AJ25" i="1"/>
  <c r="AK25" i="1"/>
  <c r="AF24" i="1"/>
  <c r="AH24" i="1"/>
  <c r="AI24" i="1"/>
  <c r="AJ24" i="1"/>
  <c r="AK24" i="1"/>
  <c r="AF21" i="1"/>
  <c r="AH21" i="1"/>
  <c r="AI21" i="1"/>
  <c r="AJ21" i="1"/>
  <c r="AK21" i="1"/>
  <c r="AF22" i="1"/>
  <c r="AH22" i="1"/>
  <c r="AI22" i="1"/>
  <c r="AJ22" i="1"/>
  <c r="AK22" i="1"/>
  <c r="AF23" i="1"/>
  <c r="AH23" i="1"/>
  <c r="AI23" i="1"/>
  <c r="AJ23" i="1"/>
  <c r="AK23" i="1"/>
  <c r="AF18" i="1"/>
  <c r="AH18" i="1"/>
  <c r="AI18" i="1"/>
  <c r="AJ18" i="1"/>
  <c r="AK18" i="1"/>
  <c r="AF19" i="1"/>
  <c r="AH19" i="1"/>
  <c r="AI19" i="1"/>
  <c r="AJ19" i="1"/>
  <c r="AK19" i="1"/>
  <c r="AF20" i="1"/>
  <c r="AH20" i="1"/>
  <c r="AI20" i="1"/>
  <c r="AJ20" i="1"/>
  <c r="AK20" i="1"/>
  <c r="K130" i="12"/>
  <c r="I130" i="12"/>
  <c r="I127" i="12"/>
  <c r="K126" i="12"/>
  <c r="I126" i="12"/>
  <c r="K125" i="12"/>
  <c r="I125" i="12"/>
  <c r="K124" i="12"/>
  <c r="K130" i="1"/>
  <c r="I130" i="1"/>
  <c r="K129" i="1"/>
  <c r="I127" i="1"/>
  <c r="K126" i="1"/>
  <c r="I126" i="1"/>
  <c r="K125" i="1"/>
  <c r="I125" i="1"/>
  <c r="K124" i="1"/>
  <c r="B74" i="1"/>
  <c r="B76" i="1"/>
  <c r="F91" i="9"/>
  <c r="AG82" i="1"/>
  <c r="AE82" i="1"/>
  <c r="AC82" i="1"/>
  <c r="AA82" i="1"/>
  <c r="AH82" i="1"/>
  <c r="H73" i="8"/>
  <c r="I92" i="9"/>
  <c r="H92" i="9"/>
  <c r="H73" i="1"/>
  <c r="G92" i="9"/>
  <c r="F92" i="9"/>
  <c r="E92" i="9"/>
  <c r="E88" i="9"/>
  <c r="E101" i="9"/>
  <c r="D92" i="9"/>
  <c r="D88" i="9"/>
  <c r="D101" i="9"/>
  <c r="C92" i="9"/>
  <c r="C88" i="9"/>
  <c r="C101" i="9"/>
  <c r="B92" i="9"/>
  <c r="B88" i="9"/>
  <c r="B101" i="9"/>
  <c r="I91" i="9"/>
  <c r="H91" i="9"/>
  <c r="G91" i="9"/>
  <c r="E91" i="9"/>
  <c r="E100" i="9"/>
  <c r="D91" i="9"/>
  <c r="D100" i="9"/>
  <c r="C91" i="9"/>
  <c r="C100" i="9"/>
  <c r="B91" i="9"/>
  <c r="B100" i="9"/>
  <c r="I90" i="9"/>
  <c r="H90" i="9"/>
  <c r="G90" i="9"/>
  <c r="F90" i="9"/>
  <c r="E90" i="9"/>
  <c r="E99" i="9"/>
  <c r="D90" i="9"/>
  <c r="D99" i="9"/>
  <c r="C90" i="9"/>
  <c r="C99" i="9"/>
  <c r="B90" i="9"/>
  <c r="B99" i="9"/>
  <c r="I89" i="9"/>
  <c r="H89" i="9"/>
  <c r="G89" i="9"/>
  <c r="F89" i="9"/>
  <c r="E89" i="9"/>
  <c r="E98" i="9"/>
  <c r="D89" i="9"/>
  <c r="D98" i="9"/>
  <c r="C89" i="9"/>
  <c r="C98" i="9"/>
  <c r="B89" i="9"/>
  <c r="B98" i="9"/>
  <c r="I95" i="9"/>
  <c r="I96" i="9"/>
  <c r="H95" i="9"/>
  <c r="H96" i="9"/>
  <c r="G95" i="9"/>
  <c r="G96" i="9"/>
  <c r="F95" i="9"/>
  <c r="F96" i="9"/>
  <c r="A95" i="9"/>
  <c r="A96" i="9"/>
  <c r="A91" i="9"/>
  <c r="A92" i="9"/>
  <c r="B76" i="7"/>
  <c r="K71" i="7"/>
  <c r="L71" i="7"/>
  <c r="I126" i="7"/>
  <c r="I72" i="7"/>
  <c r="K72" i="7"/>
  <c r="L72" i="7"/>
  <c r="B76" i="12"/>
  <c r="K71" i="12"/>
  <c r="L71" i="12"/>
  <c r="I72" i="12"/>
  <c r="K72" i="12"/>
  <c r="L72" i="12"/>
  <c r="I71" i="1"/>
  <c r="K71" i="1"/>
  <c r="L71" i="1"/>
  <c r="I72" i="1"/>
  <c r="K72" i="1"/>
  <c r="L72" i="1"/>
  <c r="I130" i="8"/>
  <c r="I130" i="7"/>
  <c r="I127" i="7"/>
  <c r="K125" i="7"/>
  <c r="K126" i="7"/>
  <c r="K125" i="8"/>
  <c r="K126" i="8"/>
  <c r="B31" i="12"/>
  <c r="B31" i="7"/>
  <c r="B31" i="8"/>
  <c r="B31" i="1"/>
  <c r="D41" i="1"/>
  <c r="A9" i="7"/>
  <c r="A6" i="7"/>
  <c r="B22" i="13"/>
  <c r="D22" i="13"/>
  <c r="E22" i="13"/>
  <c r="B23" i="13"/>
  <c r="B107" i="13"/>
  <c r="B109" i="13"/>
  <c r="H30" i="12"/>
  <c r="H43" i="8"/>
  <c r="H39" i="1"/>
  <c r="D39" i="1"/>
  <c r="I39" i="1"/>
  <c r="H40" i="1"/>
  <c r="D40" i="1"/>
  <c r="I40" i="1"/>
  <c r="H44" i="1"/>
  <c r="H45" i="1"/>
  <c r="K45" i="1"/>
  <c r="L45" i="1"/>
  <c r="H46" i="1"/>
  <c r="D47" i="1"/>
  <c r="H47" i="1"/>
  <c r="I47" i="1"/>
  <c r="H49" i="1"/>
  <c r="A7" i="8"/>
  <c r="A9" i="12"/>
  <c r="A11" i="7"/>
  <c r="A15" i="7"/>
  <c r="A17" i="8"/>
  <c r="A28" i="12"/>
  <c r="AE109" i="13"/>
  <c r="B118" i="13"/>
  <c r="AK2" i="8"/>
  <c r="AJ2" i="8"/>
  <c r="AF2" i="8"/>
  <c r="AD2" i="8"/>
  <c r="AB2" i="8"/>
  <c r="Z2" i="8"/>
  <c r="AK2" i="7"/>
  <c r="AJ2" i="7"/>
  <c r="AF2" i="7"/>
  <c r="AD2" i="7"/>
  <c r="AB2" i="7"/>
  <c r="Z2" i="7"/>
  <c r="AK2" i="12"/>
  <c r="AJ2" i="12"/>
  <c r="AF2" i="12"/>
  <c r="AD2" i="12"/>
  <c r="AB2" i="12"/>
  <c r="Z2" i="12"/>
  <c r="X7" i="8"/>
  <c r="AC7" i="8"/>
  <c r="X11" i="8"/>
  <c r="X41" i="8"/>
  <c r="X9" i="8"/>
  <c r="X40" i="8"/>
  <c r="X8" i="8"/>
  <c r="X39" i="8"/>
  <c r="X41" i="7"/>
  <c r="X40" i="7"/>
  <c r="X39" i="7"/>
  <c r="X41" i="12"/>
  <c r="X40" i="12"/>
  <c r="AG82" i="8"/>
  <c r="AE82" i="8"/>
  <c r="AC82" i="8"/>
  <c r="AA82" i="8"/>
  <c r="AH82" i="8"/>
  <c r="Z82" i="8"/>
  <c r="AD73" i="8"/>
  <c r="AB73" i="8"/>
  <c r="Z73" i="8"/>
  <c r="AF73" i="1"/>
  <c r="AF73" i="8"/>
  <c r="AH73" i="8"/>
  <c r="AF70" i="1"/>
  <c r="AF70" i="8"/>
  <c r="AD70" i="8"/>
  <c r="AB70" i="8"/>
  <c r="Z70" i="8"/>
  <c r="AH70" i="8"/>
  <c r="AD64" i="8"/>
  <c r="AB64" i="8"/>
  <c r="Z64" i="8"/>
  <c r="AF64" i="8"/>
  <c r="AD63" i="8"/>
  <c r="AB63" i="8"/>
  <c r="Z63" i="8"/>
  <c r="AD62" i="8"/>
  <c r="AB62" i="8"/>
  <c r="Z62" i="8"/>
  <c r="AD61" i="8"/>
  <c r="AB61" i="8"/>
  <c r="Z61" i="8"/>
  <c r="AD60" i="8"/>
  <c r="AB60" i="8"/>
  <c r="Z60" i="8"/>
  <c r="AD59" i="8"/>
  <c r="AB59" i="8"/>
  <c r="Z59" i="8"/>
  <c r="AD58" i="8"/>
  <c r="AB58" i="8"/>
  <c r="Z58" i="8"/>
  <c r="AD52" i="8"/>
  <c r="AB52" i="8"/>
  <c r="Z52" i="8"/>
  <c r="AF52" i="8"/>
  <c r="AD51" i="8"/>
  <c r="AB51" i="8"/>
  <c r="Z51" i="8"/>
  <c r="AD50" i="8"/>
  <c r="AB50" i="8"/>
  <c r="Z50" i="8"/>
  <c r="AD49" i="8"/>
  <c r="AB49" i="8"/>
  <c r="Z49" i="8"/>
  <c r="AD48" i="8"/>
  <c r="AB48" i="8"/>
  <c r="Z48" i="8"/>
  <c r="AD47" i="8"/>
  <c r="AB47" i="8"/>
  <c r="Z47" i="8"/>
  <c r="AD46" i="8"/>
  <c r="AB46" i="8"/>
  <c r="Z46" i="8"/>
  <c r="AD45" i="8"/>
  <c r="AB45" i="8"/>
  <c r="Z45" i="8"/>
  <c r="AD44" i="8"/>
  <c r="AB44" i="8"/>
  <c r="Z44" i="8"/>
  <c r="AD43" i="8"/>
  <c r="AB43" i="8"/>
  <c r="Z43" i="8"/>
  <c r="AD42" i="8"/>
  <c r="AB42" i="8"/>
  <c r="Z42" i="8"/>
  <c r="AD29" i="8"/>
  <c r="AB29" i="8"/>
  <c r="Z29" i="8"/>
  <c r="AD28" i="8"/>
  <c r="AB28" i="8"/>
  <c r="Z28" i="8"/>
  <c r="AD27" i="8"/>
  <c r="AB27" i="8"/>
  <c r="Z27" i="8"/>
  <c r="AD26" i="8"/>
  <c r="AB26" i="8"/>
  <c r="Z26" i="8"/>
  <c r="AD17" i="8"/>
  <c r="Z17" i="8"/>
  <c r="AB17" i="8"/>
  <c r="AF17" i="8"/>
  <c r="AD16" i="8"/>
  <c r="AB16" i="8"/>
  <c r="Z16" i="8"/>
  <c r="AF16" i="8"/>
  <c r="AD15" i="8"/>
  <c r="AB15" i="8"/>
  <c r="Z15" i="8"/>
  <c r="AD14" i="8"/>
  <c r="AB14" i="8"/>
  <c r="Z14" i="8"/>
  <c r="AD13" i="8"/>
  <c r="AB13" i="8"/>
  <c r="Z13" i="8"/>
  <c r="AD12" i="8"/>
  <c r="AB12" i="8"/>
  <c r="Z12" i="8"/>
  <c r="X10" i="8"/>
  <c r="AD6" i="8"/>
  <c r="AB6" i="8"/>
  <c r="Z6" i="8"/>
  <c r="AF1" i="8"/>
  <c r="AD1" i="8"/>
  <c r="AK1" i="8"/>
  <c r="AB1" i="8"/>
  <c r="Z1" i="8"/>
  <c r="AD73" i="7"/>
  <c r="AB73" i="7"/>
  <c r="Z73" i="7"/>
  <c r="AF73" i="7"/>
  <c r="AH73" i="7"/>
  <c r="AH49" i="7"/>
  <c r="AF1" i="7"/>
  <c r="AD1" i="7"/>
  <c r="AK1" i="7"/>
  <c r="AB1" i="7"/>
  <c r="Z1" i="7"/>
  <c r="AF1" i="12"/>
  <c r="AD1" i="12"/>
  <c r="AK1" i="12"/>
  <c r="AB1" i="12"/>
  <c r="Z1" i="12"/>
  <c r="AJ1" i="12"/>
  <c r="AH64" i="12"/>
  <c r="AH61" i="12"/>
  <c r="AH48" i="12"/>
  <c r="AH47" i="12"/>
  <c r="AD73" i="12"/>
  <c r="AB73" i="12"/>
  <c r="AH70" i="12"/>
  <c r="Z73" i="12"/>
  <c r="AH58" i="12"/>
  <c r="AH51" i="12"/>
  <c r="AH43" i="12"/>
  <c r="AH70" i="1"/>
  <c r="A94" i="9"/>
  <c r="A93" i="9"/>
  <c r="A88" i="9"/>
  <c r="A72" i="13"/>
  <c r="A90" i="9"/>
  <c r="A57" i="13"/>
  <c r="A89" i="9"/>
  <c r="A73" i="13"/>
  <c r="A87" i="9"/>
  <c r="A86" i="9"/>
  <c r="A54" i="13"/>
  <c r="A120" i="13"/>
  <c r="A85" i="9"/>
  <c r="A84" i="9"/>
  <c r="A83" i="9"/>
  <c r="A69" i="13"/>
  <c r="A82" i="9"/>
  <c r="A81" i="9"/>
  <c r="A50" i="13"/>
  <c r="A116" i="13"/>
  <c r="A80" i="9"/>
  <c r="A79" i="9"/>
  <c r="A49" i="13"/>
  <c r="A115" i="13"/>
  <c r="A78" i="9"/>
  <c r="A65" i="13"/>
  <c r="A77" i="9"/>
  <c r="A76" i="9"/>
  <c r="A46" i="13"/>
  <c r="A112" i="13"/>
  <c r="A75" i="9"/>
  <c r="A74" i="9"/>
  <c r="A5" i="13"/>
  <c r="A73" i="9"/>
  <c r="A60" i="13"/>
  <c r="A72" i="9"/>
  <c r="A42" i="13"/>
  <c r="A108" i="13"/>
  <c r="AF13" i="1"/>
  <c r="AF12" i="1"/>
  <c r="AF64" i="1"/>
  <c r="AH64" i="1"/>
  <c r="AF63" i="1"/>
  <c r="AH63" i="1"/>
  <c r="AF62" i="1"/>
  <c r="AH62" i="1"/>
  <c r="AF61" i="1"/>
  <c r="AH61" i="1"/>
  <c r="AF60" i="1"/>
  <c r="AH60" i="1"/>
  <c r="AF59" i="1"/>
  <c r="AH59" i="1"/>
  <c r="AF58" i="1"/>
  <c r="AH58" i="1"/>
  <c r="AF57" i="1"/>
  <c r="AH57" i="1"/>
  <c r="AF56" i="1"/>
  <c r="AH56" i="1"/>
  <c r="AF55" i="1"/>
  <c r="AH55" i="1"/>
  <c r="AF49" i="1"/>
  <c r="AH49" i="1"/>
  <c r="AF48" i="1"/>
  <c r="AH48" i="1"/>
  <c r="AF47" i="1"/>
  <c r="AH47" i="1"/>
  <c r="AF46" i="1"/>
  <c r="AH46" i="1"/>
  <c r="AF45" i="1"/>
  <c r="AH45" i="1"/>
  <c r="AF44" i="1"/>
  <c r="AH44" i="1"/>
  <c r="AF43" i="1"/>
  <c r="AH43" i="1"/>
  <c r="AF42" i="1"/>
  <c r="AH42" i="1"/>
  <c r="AF29" i="1"/>
  <c r="AH29" i="1"/>
  <c r="AF28" i="1"/>
  <c r="AH28" i="1"/>
  <c r="AF27" i="1"/>
  <c r="AH27" i="1"/>
  <c r="AF26" i="1"/>
  <c r="AH26" i="1"/>
  <c r="AF17" i="1"/>
  <c r="AH17" i="1"/>
  <c r="AF16" i="1"/>
  <c r="AH16" i="1"/>
  <c r="AF15" i="1"/>
  <c r="AH15" i="1"/>
  <c r="AF14" i="1"/>
  <c r="AH14" i="1"/>
  <c r="AF6" i="1"/>
  <c r="AH6" i="1"/>
  <c r="AK1" i="1"/>
  <c r="AJ1" i="1"/>
  <c r="B3" i="11"/>
  <c r="G3" i="11"/>
  <c r="L3" i="11"/>
  <c r="R3" i="11"/>
  <c r="B3" i="10"/>
  <c r="G3" i="10"/>
  <c r="L3" i="10"/>
  <c r="R3" i="10"/>
  <c r="C3" i="9"/>
  <c r="G3" i="9"/>
  <c r="L3" i="9"/>
  <c r="R3" i="9"/>
  <c r="M4" i="7"/>
  <c r="M5" i="7"/>
  <c r="K31" i="7"/>
  <c r="A88" i="7"/>
  <c r="M89" i="7"/>
  <c r="M90" i="7"/>
  <c r="A121" i="7"/>
  <c r="M122" i="7"/>
  <c r="M123" i="7"/>
  <c r="M4" i="1"/>
  <c r="M5" i="1"/>
  <c r="H30" i="1"/>
  <c r="K31" i="1"/>
  <c r="H38" i="1"/>
  <c r="H42" i="1"/>
  <c r="K42" i="1"/>
  <c r="L42" i="1"/>
  <c r="H43" i="1"/>
  <c r="H48" i="1"/>
  <c r="A88" i="1"/>
  <c r="M89" i="1"/>
  <c r="M90" i="1"/>
  <c r="A121" i="1"/>
  <c r="M122" i="1"/>
  <c r="M123" i="1"/>
  <c r="M4" i="8"/>
  <c r="M5" i="8"/>
  <c r="K31" i="8"/>
  <c r="H45" i="8"/>
  <c r="K45" i="8"/>
  <c r="L45" i="8"/>
  <c r="A88" i="8"/>
  <c r="M89" i="8"/>
  <c r="M90" i="8"/>
  <c r="A121" i="8"/>
  <c r="M122" i="8"/>
  <c r="M123" i="8"/>
  <c r="M4" i="12"/>
  <c r="M5" i="12"/>
  <c r="A88" i="12"/>
  <c r="M89" i="12"/>
  <c r="M90" i="12"/>
  <c r="A121" i="12"/>
  <c r="M122" i="12"/>
  <c r="M123" i="12"/>
  <c r="H37" i="1"/>
  <c r="K37" i="1"/>
  <c r="L37" i="1"/>
  <c r="AH13" i="1"/>
  <c r="AH12" i="1"/>
  <c r="AF43" i="8"/>
  <c r="A38" i="13"/>
  <c r="A55" i="13"/>
  <c r="A39" i="13"/>
  <c r="A56" i="13"/>
  <c r="AB82" i="1"/>
  <c r="Z82" i="1"/>
  <c r="AH17" i="8"/>
  <c r="AH42" i="7"/>
  <c r="AH14" i="7"/>
  <c r="H37" i="7"/>
  <c r="AH73" i="1"/>
  <c r="AF73" i="12"/>
  <c r="AG73" i="12"/>
  <c r="K2" i="9"/>
  <c r="A1" i="7"/>
  <c r="A28" i="7"/>
  <c r="A8" i="13"/>
  <c r="A30" i="13"/>
  <c r="A32" i="13"/>
  <c r="A48" i="13"/>
  <c r="A114" i="13"/>
  <c r="A52" i="13"/>
  <c r="A118" i="13"/>
  <c r="A9" i="13"/>
  <c r="A11" i="13"/>
  <c r="A13" i="13"/>
  <c r="A31" i="13"/>
  <c r="A33" i="13"/>
  <c r="A35" i="13"/>
  <c r="A28" i="8"/>
  <c r="A7" i="12"/>
  <c r="A6" i="12"/>
  <c r="A8" i="7"/>
  <c r="A8" i="8"/>
  <c r="A8" i="12"/>
  <c r="A9" i="8"/>
  <c r="A11" i="8"/>
  <c r="A11" i="12"/>
  <c r="A12" i="8"/>
  <c r="A12" i="7"/>
  <c r="A12" i="12"/>
  <c r="A13" i="12"/>
  <c r="A15" i="8"/>
  <c r="A15" i="12"/>
  <c r="A16" i="7"/>
  <c r="A16" i="8"/>
  <c r="A27" i="7"/>
  <c r="A27" i="8"/>
  <c r="D37" i="7"/>
  <c r="A37" i="12"/>
  <c r="A91" i="12"/>
  <c r="A37" i="8"/>
  <c r="A91" i="8"/>
  <c r="A37" i="7"/>
  <c r="A91" i="7"/>
  <c r="A91" i="1"/>
  <c r="A93" i="12"/>
  <c r="A94" i="12"/>
  <c r="A95" i="12"/>
  <c r="A97" i="12"/>
  <c r="D42" i="1"/>
  <c r="I42" i="1"/>
  <c r="A98" i="12"/>
  <c r="A99" i="12"/>
  <c r="A100" i="12"/>
  <c r="A103" i="12"/>
  <c r="I48" i="1"/>
  <c r="A104" i="12"/>
  <c r="A105" i="12"/>
  <c r="D38" i="1"/>
  <c r="I38" i="1"/>
  <c r="B74" i="12"/>
  <c r="A101" i="12"/>
  <c r="A27" i="12"/>
  <c r="A7" i="7"/>
  <c r="A6" i="8"/>
  <c r="AH12" i="12"/>
  <c r="AF42" i="8"/>
  <c r="AH42" i="8"/>
  <c r="A66" i="13"/>
  <c r="AH42" i="12"/>
  <c r="AH63" i="12"/>
  <c r="A10" i="13"/>
  <c r="AH60" i="7"/>
  <c r="AH63" i="7"/>
  <c r="AA7" i="8"/>
  <c r="AH45" i="12"/>
  <c r="AH52" i="12"/>
  <c r="AJ1" i="8"/>
  <c r="A63" i="13"/>
  <c r="A74" i="13"/>
  <c r="A29" i="13"/>
  <c r="A7" i="13"/>
  <c r="AH50" i="7"/>
  <c r="A43" i="13"/>
  <c r="A109" i="13"/>
  <c r="A40" i="13"/>
  <c r="AH60" i="12"/>
  <c r="AH46" i="12"/>
  <c r="AH59" i="12"/>
  <c r="AH26" i="12"/>
  <c r="AE7" i="8"/>
  <c r="AF26" i="8"/>
  <c r="AH26" i="8"/>
  <c r="AF50" i="8"/>
  <c r="AH50" i="8"/>
  <c r="AF63" i="8"/>
  <c r="AH63" i="8"/>
  <c r="C22" i="13"/>
  <c r="D23" i="13"/>
  <c r="K31" i="12"/>
  <c r="A14" i="12"/>
  <c r="A14" i="7"/>
  <c r="A14" i="8"/>
  <c r="D37" i="1"/>
  <c r="C65" i="1"/>
  <c r="D43" i="1"/>
  <c r="I43" i="1"/>
  <c r="A106" i="12"/>
  <c r="A102" i="12"/>
  <c r="AC73" i="1"/>
  <c r="AA73" i="1"/>
  <c r="AE73" i="1"/>
  <c r="C65" i="7"/>
  <c r="C65" i="8"/>
  <c r="D37" i="8"/>
  <c r="K52" i="8"/>
  <c r="K48" i="8"/>
  <c r="C32" i="8"/>
  <c r="C32" i="12"/>
  <c r="AG73" i="1"/>
  <c r="B74" i="8"/>
  <c r="D37" i="12"/>
  <c r="A10" i="7"/>
  <c r="A10" i="8"/>
  <c r="A10" i="12"/>
  <c r="A26" i="12"/>
  <c r="A26" i="7"/>
  <c r="A26" i="8"/>
  <c r="D44" i="1"/>
  <c r="A96" i="12"/>
  <c r="A92" i="12"/>
  <c r="I49" i="1"/>
  <c r="C32" i="1"/>
  <c r="K42" i="8"/>
  <c r="B24" i="13"/>
  <c r="C107" i="13"/>
  <c r="K73" i="7"/>
  <c r="K37" i="7"/>
  <c r="A1" i="12"/>
  <c r="K2" i="11"/>
  <c r="A1" i="8"/>
  <c r="K2" i="10"/>
  <c r="E23" i="13"/>
  <c r="F107" i="13"/>
  <c r="C23" i="13"/>
  <c r="C65" i="12"/>
  <c r="A13" i="8"/>
  <c r="A13" i="7"/>
  <c r="A29" i="7"/>
  <c r="A29" i="12"/>
  <c r="A29" i="8"/>
  <c r="A17" i="7"/>
  <c r="D45" i="1"/>
  <c r="D46" i="1"/>
  <c r="C32" i="7"/>
  <c r="K124" i="8"/>
  <c r="I45" i="8"/>
  <c r="I44" i="1"/>
  <c r="I46" i="1"/>
  <c r="I43" i="8"/>
  <c r="A53" i="13"/>
  <c r="A119" i="13"/>
  <c r="A14" i="13"/>
  <c r="A36" i="13"/>
  <c r="A70" i="13"/>
  <c r="A3" i="13"/>
  <c r="A59" i="13"/>
  <c r="A25" i="13"/>
  <c r="A51" i="13"/>
  <c r="A117" i="13"/>
  <c r="A12" i="13"/>
  <c r="A34" i="13"/>
  <c r="A68" i="13"/>
  <c r="AH6" i="12"/>
  <c r="AH29" i="12"/>
  <c r="AH25" i="12"/>
  <c r="AH13" i="12"/>
  <c r="AH15" i="12"/>
  <c r="AH27" i="12"/>
  <c r="AH6" i="7"/>
  <c r="AH12" i="7"/>
  <c r="AH15" i="7"/>
  <c r="AH17" i="7"/>
  <c r="AH27" i="7"/>
  <c r="AH28" i="7"/>
  <c r="AH43" i="7"/>
  <c r="AH47" i="7"/>
  <c r="AH48" i="7"/>
  <c r="AH51" i="7"/>
  <c r="AH61" i="7"/>
  <c r="AH62" i="7"/>
  <c r="AH64" i="7"/>
  <c r="AF6" i="8"/>
  <c r="AH6" i="8"/>
  <c r="AF12" i="8"/>
  <c r="AH12" i="8"/>
  <c r="AF13" i="8"/>
  <c r="AH13" i="8"/>
  <c r="AF15" i="8"/>
  <c r="AH15" i="8"/>
  <c r="AF27" i="8"/>
  <c r="AH27" i="8"/>
  <c r="AF28" i="8"/>
  <c r="AH28" i="8"/>
  <c r="AF29" i="8"/>
  <c r="AH29" i="8"/>
  <c r="AF44" i="8"/>
  <c r="AH44" i="8"/>
  <c r="AF45" i="8"/>
  <c r="AH45" i="8"/>
  <c r="AF47" i="8"/>
  <c r="AH47" i="8"/>
  <c r="AF48" i="8"/>
  <c r="AH48" i="8"/>
  <c r="AF49" i="8"/>
  <c r="AH49" i="8"/>
  <c r="AF51" i="8"/>
  <c r="AH51" i="8"/>
  <c r="AF58" i="8"/>
  <c r="AH58" i="8"/>
  <c r="AF60" i="8"/>
  <c r="AH60" i="8"/>
  <c r="AF61" i="8"/>
  <c r="AH61" i="8"/>
  <c r="AF62" i="8"/>
  <c r="AH62" i="8"/>
  <c r="AB82" i="8"/>
  <c r="AH16" i="8"/>
  <c r="AH43" i="8"/>
  <c r="AH52" i="8"/>
  <c r="AH64" i="8"/>
  <c r="H48" i="8"/>
  <c r="L48" i="8"/>
  <c r="A45" i="13"/>
  <c r="A111" i="13"/>
  <c r="A62" i="13"/>
  <c r="A28" i="13"/>
  <c r="A47" i="13"/>
  <c r="A113" i="13"/>
  <c r="A64" i="13"/>
  <c r="AH24" i="12"/>
  <c r="H37" i="12"/>
  <c r="A6" i="13"/>
  <c r="AH28" i="12"/>
  <c r="AH14" i="12"/>
  <c r="A71" i="13"/>
  <c r="A37" i="13"/>
  <c r="A15" i="13"/>
  <c r="AH62" i="12"/>
  <c r="AH49" i="12"/>
  <c r="AF14" i="8"/>
  <c r="AH14" i="8"/>
  <c r="AF46" i="8"/>
  <c r="AH46" i="8"/>
  <c r="AF59" i="8"/>
  <c r="AH59" i="8"/>
  <c r="H30" i="7"/>
  <c r="H30" i="8"/>
  <c r="A67" i="13"/>
  <c r="AH73" i="12"/>
  <c r="AJ1" i="7"/>
  <c r="A27" i="13"/>
  <c r="A61" i="13"/>
  <c r="A44" i="13"/>
  <c r="A110" i="13"/>
  <c r="AH26" i="7"/>
  <c r="AH46" i="7"/>
  <c r="AH59" i="7"/>
  <c r="AE73" i="12"/>
  <c r="AK73" i="12"/>
  <c r="AC73" i="12"/>
  <c r="AA73" i="12"/>
  <c r="AH44" i="12"/>
  <c r="AH50" i="12"/>
  <c r="AH13" i="7"/>
  <c r="AH16" i="7"/>
  <c r="AH29" i="7"/>
  <c r="AH44" i="7"/>
  <c r="AH45" i="7"/>
  <c r="AH52" i="7"/>
  <c r="AH58" i="7"/>
  <c r="AH70" i="7"/>
  <c r="A26" i="13"/>
  <c r="A4" i="13"/>
  <c r="H47" i="8"/>
  <c r="I47" i="8"/>
  <c r="H44" i="8"/>
  <c r="H49" i="8"/>
  <c r="H41" i="1"/>
  <c r="F116" i="13"/>
  <c r="F117" i="13"/>
  <c r="F109" i="13"/>
  <c r="F110" i="13"/>
  <c r="F120" i="13"/>
  <c r="F108" i="13"/>
  <c r="F118" i="13"/>
  <c r="F115" i="13"/>
  <c r="F113" i="13"/>
  <c r="F119" i="13"/>
  <c r="K65" i="7"/>
  <c r="K41" i="1"/>
  <c r="L41" i="1"/>
  <c r="K38" i="1"/>
  <c r="L38" i="1"/>
  <c r="K48" i="1"/>
  <c r="L48" i="1"/>
  <c r="K40" i="1"/>
  <c r="L40" i="1"/>
  <c r="K46" i="1"/>
  <c r="L46" i="1"/>
  <c r="K47" i="1"/>
  <c r="L47" i="1"/>
  <c r="K44" i="1"/>
  <c r="L44" i="1"/>
  <c r="I37" i="1"/>
  <c r="D65" i="1"/>
  <c r="AI73" i="1"/>
  <c r="AJ73" i="1"/>
  <c r="D65" i="8"/>
  <c r="K43" i="1"/>
  <c r="L43" i="1"/>
  <c r="K37" i="12"/>
  <c r="K38" i="8"/>
  <c r="K40" i="8"/>
  <c r="K44" i="8"/>
  <c r="L44" i="8"/>
  <c r="K46" i="8"/>
  <c r="K50" i="8"/>
  <c r="D24" i="13"/>
  <c r="D107" i="13"/>
  <c r="E24" i="13"/>
  <c r="E107" i="13"/>
  <c r="K49" i="8"/>
  <c r="K51" i="8"/>
  <c r="K39" i="8"/>
  <c r="K41" i="8"/>
  <c r="K43" i="8"/>
  <c r="L43" i="8"/>
  <c r="B76" i="8"/>
  <c r="K47" i="8"/>
  <c r="L47" i="8"/>
  <c r="K37" i="8"/>
  <c r="AK73" i="1"/>
  <c r="B74" i="7"/>
  <c r="K74" i="7"/>
  <c r="C119" i="12"/>
  <c r="C24" i="13"/>
  <c r="K49" i="1"/>
  <c r="L49" i="1"/>
  <c r="D65" i="12"/>
  <c r="K74" i="8"/>
  <c r="K70" i="7"/>
  <c r="C119" i="8"/>
  <c r="D65" i="7"/>
  <c r="K39" i="1"/>
  <c r="AJ73" i="12"/>
  <c r="AI73" i="12"/>
  <c r="L37" i="12"/>
  <c r="I37" i="12"/>
  <c r="H46" i="8"/>
  <c r="AG73" i="7"/>
  <c r="AC73" i="7"/>
  <c r="AA73" i="7"/>
  <c r="AE73" i="7"/>
  <c r="I48" i="8"/>
  <c r="H50" i="8"/>
  <c r="I44" i="8"/>
  <c r="H52" i="8"/>
  <c r="H51" i="8"/>
  <c r="L49" i="8"/>
  <c r="I49" i="8"/>
  <c r="H38" i="8"/>
  <c r="I41" i="1"/>
  <c r="R19" i="13"/>
  <c r="DA43" i="13"/>
  <c r="DA42" i="13"/>
  <c r="G49" i="13"/>
  <c r="J45" i="13"/>
  <c r="L43" i="13"/>
  <c r="DA52" i="13"/>
  <c r="F46" i="13"/>
  <c r="CZ46" i="13"/>
  <c r="H48" i="13"/>
  <c r="CZ52" i="13"/>
  <c r="K43" i="13"/>
  <c r="DA49" i="13"/>
  <c r="I54" i="13"/>
  <c r="E82" i="9"/>
  <c r="E34" i="13"/>
  <c r="D82" i="9"/>
  <c r="D34" i="13"/>
  <c r="CX51" i="13"/>
  <c r="O52" i="13"/>
  <c r="L50" i="13"/>
  <c r="J48" i="13"/>
  <c r="R47" i="13"/>
  <c r="P52" i="13"/>
  <c r="P42" i="13"/>
  <c r="DA44" i="13"/>
  <c r="O45" i="13"/>
  <c r="H51" i="13"/>
  <c r="O54" i="13"/>
  <c r="G52" i="13"/>
  <c r="F53" i="13"/>
  <c r="E86" i="9"/>
  <c r="E37" i="13"/>
  <c r="D86" i="9"/>
  <c r="D37" i="13"/>
  <c r="CY54" i="13"/>
  <c r="I48" i="13"/>
  <c r="J51" i="13"/>
  <c r="N42" i="13"/>
  <c r="CZ53" i="13"/>
  <c r="P50" i="13"/>
  <c r="O42" i="13"/>
  <c r="L47" i="13"/>
  <c r="H42" i="13"/>
  <c r="Q53" i="13"/>
  <c r="N19" i="13"/>
  <c r="R50" i="13"/>
  <c r="E75" i="9"/>
  <c r="E28" i="13"/>
  <c r="D75" i="9"/>
  <c r="D28" i="13"/>
  <c r="CY45" i="13"/>
  <c r="G54" i="13"/>
  <c r="E79" i="9"/>
  <c r="E32" i="13"/>
  <c r="D79" i="9"/>
  <c r="D32" i="13"/>
  <c r="CX49" i="13"/>
  <c r="K46" i="13"/>
  <c r="N46" i="13"/>
  <c r="G19" i="13"/>
  <c r="G51" i="13"/>
  <c r="CZ51" i="13"/>
  <c r="G46" i="13"/>
  <c r="K52" i="13"/>
  <c r="F52" i="13"/>
  <c r="DA50" i="13"/>
  <c r="K54" i="13"/>
  <c r="Q43" i="13"/>
  <c r="E83" i="9"/>
  <c r="E35" i="13"/>
  <c r="D83" i="9"/>
  <c r="D35" i="13"/>
  <c r="CX52" i="13"/>
  <c r="G53" i="13"/>
  <c r="J44" i="13"/>
  <c r="I42" i="13"/>
  <c r="P53" i="13"/>
  <c r="N50" i="13"/>
  <c r="J52" i="13"/>
  <c r="O53" i="13"/>
  <c r="D16" i="13"/>
  <c r="E16" i="13"/>
  <c r="CX19" i="13"/>
  <c r="O47" i="13"/>
  <c r="G43" i="13"/>
  <c r="K42" i="13"/>
  <c r="P19" i="13"/>
  <c r="O19" i="13"/>
  <c r="H43" i="13"/>
  <c r="N52" i="13"/>
  <c r="G42" i="13"/>
  <c r="K44" i="13"/>
  <c r="E72" i="9"/>
  <c r="E25" i="13"/>
  <c r="D72" i="9"/>
  <c r="D25" i="13"/>
  <c r="CY42" i="13"/>
  <c r="J42" i="13"/>
  <c r="CZ48" i="13"/>
  <c r="K51" i="13"/>
  <c r="CZ19" i="13"/>
  <c r="I50" i="13"/>
  <c r="G48" i="13"/>
  <c r="O46" i="13"/>
  <c r="R54" i="13"/>
  <c r="DA47" i="13"/>
  <c r="F19" i="13"/>
  <c r="CY52" i="13"/>
  <c r="M42" i="13"/>
  <c r="F54" i="13"/>
  <c r="O43" i="13"/>
  <c r="E76" i="9"/>
  <c r="E29" i="13"/>
  <c r="D76" i="9"/>
  <c r="D29" i="13"/>
  <c r="CY46" i="13"/>
  <c r="L48" i="13"/>
  <c r="E73" i="9"/>
  <c r="E26" i="13"/>
  <c r="D73" i="9"/>
  <c r="D26" i="13"/>
  <c r="CX43" i="13"/>
  <c r="DA53" i="13"/>
  <c r="E81" i="9"/>
  <c r="E33" i="13"/>
  <c r="D81" i="9"/>
  <c r="D33" i="13"/>
  <c r="CY50" i="13"/>
  <c r="F45" i="13"/>
  <c r="Q51" i="13"/>
  <c r="R52" i="13"/>
  <c r="Q42" i="13"/>
  <c r="R51" i="13"/>
  <c r="DA54" i="13"/>
  <c r="Q46" i="13"/>
  <c r="CZ47" i="13"/>
  <c r="Q19" i="13"/>
  <c r="E78" i="9"/>
  <c r="E31" i="13"/>
  <c r="D78" i="9"/>
  <c r="D31" i="13"/>
  <c r="CY48" i="13"/>
  <c r="L49" i="13"/>
  <c r="N48" i="13"/>
  <c r="H47" i="13"/>
  <c r="M19" i="13"/>
  <c r="CX45" i="13"/>
  <c r="R45" i="13"/>
  <c r="Q47" i="13"/>
  <c r="P46" i="13"/>
  <c r="J19" i="13"/>
  <c r="M54" i="13"/>
  <c r="M53" i="13"/>
  <c r="O44" i="13"/>
  <c r="I43" i="13"/>
  <c r="N49" i="13"/>
  <c r="Q45" i="13"/>
  <c r="H45" i="13"/>
  <c r="K48" i="13"/>
  <c r="R46" i="13"/>
  <c r="M47" i="13"/>
  <c r="K49" i="13"/>
  <c r="R53" i="13"/>
  <c r="CX50" i="13"/>
  <c r="N43" i="13"/>
  <c r="CX48" i="13"/>
  <c r="P48" i="13"/>
  <c r="N51" i="13"/>
  <c r="L42" i="13"/>
  <c r="L54" i="13"/>
  <c r="E77" i="9"/>
  <c r="E30" i="13"/>
  <c r="D77" i="9"/>
  <c r="D30" i="13"/>
  <c r="CY47" i="13"/>
  <c r="I45" i="13"/>
  <c r="H46" i="13"/>
  <c r="I53" i="13"/>
  <c r="K53" i="13"/>
  <c r="G47" i="13"/>
  <c r="P47" i="13"/>
  <c r="L45" i="13"/>
  <c r="G50" i="13"/>
  <c r="L46" i="13"/>
  <c r="H49" i="13"/>
  <c r="DA45" i="13"/>
  <c r="CY51" i="13"/>
  <c r="CY43" i="13"/>
  <c r="F48" i="13"/>
  <c r="E85" i="9"/>
  <c r="E36" i="13"/>
  <c r="D85" i="9"/>
  <c r="D36" i="13"/>
  <c r="CX53" i="13"/>
  <c r="N53" i="13"/>
  <c r="E74" i="9"/>
  <c r="E27" i="13"/>
  <c r="D74" i="9"/>
  <c r="D27" i="13"/>
  <c r="CX44" i="13"/>
  <c r="O49" i="13"/>
  <c r="I52" i="13"/>
  <c r="H19" i="13"/>
  <c r="P49" i="13"/>
  <c r="P51" i="13"/>
  <c r="G45" i="13"/>
  <c r="F47" i="13"/>
  <c r="J53" i="13"/>
  <c r="L19" i="13"/>
  <c r="CX42" i="13"/>
  <c r="CZ45" i="13"/>
  <c r="Q50" i="13"/>
  <c r="M49" i="13"/>
  <c r="CX47" i="13"/>
  <c r="R49" i="13"/>
  <c r="CZ42" i="13"/>
  <c r="Q48" i="13"/>
  <c r="CZ44" i="13"/>
  <c r="I44" i="13"/>
  <c r="H50" i="13"/>
  <c r="I19" i="13"/>
  <c r="P54" i="13"/>
  <c r="F43" i="13"/>
  <c r="M52" i="13"/>
  <c r="M45" i="13"/>
  <c r="N54" i="13"/>
  <c r="J46" i="13"/>
  <c r="M44" i="13"/>
  <c r="K50" i="13"/>
  <c r="J43" i="13"/>
  <c r="CY49" i="13"/>
  <c r="M46" i="13"/>
  <c r="F49" i="13"/>
  <c r="R44" i="13"/>
  <c r="R43" i="13"/>
  <c r="I51" i="13"/>
  <c r="CZ43" i="13"/>
  <c r="L44" i="13"/>
  <c r="J49" i="13"/>
  <c r="CZ54" i="13"/>
  <c r="Q52" i="13"/>
  <c r="H44" i="13"/>
  <c r="Q54" i="13"/>
  <c r="F42" i="13"/>
  <c r="P43" i="13"/>
  <c r="O51" i="13"/>
  <c r="P44" i="13"/>
  <c r="DA19" i="13"/>
  <c r="K47" i="13"/>
  <c r="L51" i="13"/>
  <c r="N45" i="13"/>
  <c r="CX46" i="13"/>
  <c r="H53" i="13"/>
  <c r="M48" i="13"/>
  <c r="I46" i="13"/>
  <c r="F44" i="13"/>
  <c r="I49" i="13"/>
  <c r="J47" i="13"/>
  <c r="R48" i="13"/>
  <c r="J50" i="13"/>
  <c r="K45" i="13"/>
  <c r="CZ49" i="13"/>
  <c r="N44" i="13"/>
  <c r="G44" i="13"/>
  <c r="Q49" i="13"/>
  <c r="CY44" i="13"/>
  <c r="DA46" i="13"/>
  <c r="O48" i="13"/>
  <c r="I47" i="13"/>
  <c r="O50" i="13"/>
  <c r="K19" i="13"/>
  <c r="DA48" i="13"/>
  <c r="M43" i="13"/>
  <c r="DA51" i="13"/>
  <c r="F51" i="13"/>
  <c r="J54" i="13"/>
  <c r="CX54" i="13"/>
  <c r="CY19" i="13"/>
  <c r="R42" i="13"/>
  <c r="L53" i="13"/>
  <c r="P45" i="13"/>
  <c r="F50" i="13"/>
  <c r="H52" i="13"/>
  <c r="CZ50" i="13"/>
  <c r="Q44" i="13"/>
  <c r="M51" i="13"/>
  <c r="L52" i="13"/>
  <c r="N47" i="13"/>
  <c r="M50" i="13"/>
  <c r="H54" i="13"/>
  <c r="CY53" i="13"/>
  <c r="D119" i="8"/>
  <c r="D30" i="8"/>
  <c r="D32" i="8"/>
  <c r="K73" i="12"/>
  <c r="K70" i="12"/>
  <c r="K74" i="12"/>
  <c r="K70" i="1"/>
  <c r="K75" i="1"/>
  <c r="K73" i="1"/>
  <c r="K74" i="1"/>
  <c r="K65" i="8"/>
  <c r="C119" i="7"/>
  <c r="K124" i="7"/>
  <c r="K65" i="1"/>
  <c r="C119" i="1"/>
  <c r="K73" i="8"/>
  <c r="K70" i="8"/>
  <c r="K130" i="8"/>
  <c r="K119" i="12"/>
  <c r="K119" i="8"/>
  <c r="K65" i="12"/>
  <c r="D119" i="12"/>
  <c r="D30" i="12"/>
  <c r="D32" i="12"/>
  <c r="AK73" i="7"/>
  <c r="L46" i="8"/>
  <c r="I46" i="8"/>
  <c r="AC73" i="8"/>
  <c r="AG73" i="8"/>
  <c r="AE73" i="8"/>
  <c r="AA73" i="8"/>
  <c r="AJ73" i="7"/>
  <c r="AI73" i="7"/>
  <c r="I50" i="8"/>
  <c r="L50" i="8"/>
  <c r="I52" i="8"/>
  <c r="L52" i="8"/>
  <c r="L51" i="8"/>
  <c r="I51" i="8"/>
  <c r="L38" i="8"/>
  <c r="I38" i="8"/>
  <c r="K130" i="7"/>
  <c r="K119" i="7"/>
  <c r="K119" i="1"/>
  <c r="D119" i="7"/>
  <c r="D30" i="7"/>
  <c r="D32" i="7"/>
  <c r="B75" i="8"/>
  <c r="K75" i="8"/>
  <c r="K76" i="8"/>
  <c r="B75" i="12"/>
  <c r="K75" i="12"/>
  <c r="K76" i="12"/>
  <c r="D119" i="1"/>
  <c r="D30" i="1"/>
  <c r="D32" i="1"/>
  <c r="K76" i="1"/>
  <c r="AJ73" i="8"/>
  <c r="AI73" i="8"/>
  <c r="AK73" i="8"/>
  <c r="B75" i="7"/>
  <c r="K75" i="7"/>
  <c r="K76" i="7"/>
  <c r="AJ7" i="1"/>
  <c r="AD82" i="8"/>
  <c r="AF82" i="8"/>
  <c r="AF82" i="1"/>
  <c r="AD82" i="1"/>
  <c r="AJ7" i="8"/>
  <c r="I45" i="1"/>
  <c r="H41" i="8"/>
  <c r="H40" i="8"/>
  <c r="L39" i="1"/>
  <c r="L65" i="1"/>
  <c r="H39" i="8"/>
  <c r="I65" i="1"/>
  <c r="I37" i="7"/>
  <c r="L37" i="7"/>
  <c r="H37" i="8"/>
  <c r="AJ7" i="12"/>
  <c r="AJ7" i="7"/>
  <c r="C75" i="9"/>
  <c r="C74" i="9"/>
  <c r="C86" i="9"/>
  <c r="C81" i="9"/>
  <c r="C85" i="9"/>
  <c r="C78" i="9"/>
  <c r="C80" i="9"/>
  <c r="C84" i="9"/>
  <c r="C76" i="9"/>
  <c r="I73" i="1"/>
  <c r="G75" i="9"/>
  <c r="C73" i="9"/>
  <c r="C82" i="9"/>
  <c r="C87" i="9"/>
  <c r="C77" i="9"/>
  <c r="C79" i="9"/>
  <c r="I65" i="12"/>
  <c r="L65" i="12"/>
  <c r="H42" i="8"/>
  <c r="L41" i="8"/>
  <c r="I41" i="8"/>
  <c r="L40" i="8"/>
  <c r="I40" i="8"/>
  <c r="L65" i="7"/>
  <c r="I65" i="7"/>
  <c r="I39" i="8"/>
  <c r="L39" i="8"/>
  <c r="L37" i="8"/>
  <c r="I37" i="8"/>
  <c r="AH83" i="1"/>
  <c r="I76" i="1"/>
  <c r="I70" i="1"/>
  <c r="C36" i="13"/>
  <c r="C14" i="13"/>
  <c r="C4" i="13"/>
  <c r="C26" i="13"/>
  <c r="C72" i="9"/>
  <c r="O124" i="12"/>
  <c r="C17" i="13"/>
  <c r="C39" i="13"/>
  <c r="C10" i="13"/>
  <c r="C32" i="13"/>
  <c r="C12" i="13"/>
  <c r="C34" i="13"/>
  <c r="C29" i="13"/>
  <c r="C7" i="13"/>
  <c r="C37" i="13"/>
  <c r="C15" i="13"/>
  <c r="C5" i="13"/>
  <c r="C27" i="13"/>
  <c r="C18" i="13"/>
  <c r="C40" i="13"/>
  <c r="G94" i="9"/>
  <c r="C30" i="13"/>
  <c r="C8" i="13"/>
  <c r="I73" i="7"/>
  <c r="D87" i="9"/>
  <c r="H75" i="9"/>
  <c r="D84" i="9"/>
  <c r="D80" i="9"/>
  <c r="C83" i="9"/>
  <c r="I73" i="12"/>
  <c r="B85" i="9"/>
  <c r="B84" i="9"/>
  <c r="B87" i="9"/>
  <c r="B78" i="9"/>
  <c r="B77" i="9"/>
  <c r="B74" i="9"/>
  <c r="B80" i="9"/>
  <c r="F87" i="9"/>
  <c r="B86" i="9"/>
  <c r="B79" i="9"/>
  <c r="B75" i="9"/>
  <c r="F75" i="9"/>
  <c r="B76" i="9"/>
  <c r="B82" i="9"/>
  <c r="B81" i="9"/>
  <c r="B73" i="9"/>
  <c r="O127" i="12"/>
  <c r="G93" i="9"/>
  <c r="C9" i="13"/>
  <c r="C31" i="13"/>
  <c r="C11" i="13"/>
  <c r="C33" i="13"/>
  <c r="C6" i="13"/>
  <c r="C28" i="13"/>
  <c r="L42" i="8"/>
  <c r="I42" i="8"/>
  <c r="L65" i="8"/>
  <c r="I65" i="8"/>
  <c r="L74" i="1"/>
  <c r="I70" i="7"/>
  <c r="I76" i="7"/>
  <c r="B28" i="13"/>
  <c r="Y45" i="13"/>
  <c r="AP45" i="13"/>
  <c r="B7" i="13"/>
  <c r="B29" i="13"/>
  <c r="F93" i="9"/>
  <c r="AC83" i="8"/>
  <c r="AG83" i="8"/>
  <c r="I75" i="9"/>
  <c r="AA83" i="8"/>
  <c r="E87" i="9"/>
  <c r="E84" i="9"/>
  <c r="E80" i="9"/>
  <c r="AE83" i="8"/>
  <c r="B4" i="13"/>
  <c r="AS4" i="13"/>
  <c r="AT4" i="13"/>
  <c r="BS4" i="13"/>
  <c r="BG4" i="13"/>
  <c r="BI4" i="13"/>
  <c r="BA4" i="13"/>
  <c r="BJ4" i="13"/>
  <c r="AV4" i="13"/>
  <c r="BQ4" i="13"/>
  <c r="BT4" i="13"/>
  <c r="AM4" i="13"/>
  <c r="BN4" i="13"/>
  <c r="AQ4" i="13"/>
  <c r="BB4" i="13"/>
  <c r="AF4" i="13"/>
  <c r="BO4" i="13"/>
  <c r="AJ4" i="13"/>
  <c r="AO4" i="13"/>
  <c r="AZ4" i="13"/>
  <c r="BH4" i="13"/>
  <c r="BR4" i="13"/>
  <c r="AW4" i="13"/>
  <c r="BU4" i="13"/>
  <c r="BC4" i="13"/>
  <c r="BF4" i="13"/>
  <c r="AX4" i="13"/>
  <c r="AP4" i="13"/>
  <c r="AU4" i="13"/>
  <c r="AY4" i="13"/>
  <c r="AN4" i="13"/>
  <c r="BE4" i="13"/>
  <c r="BL4" i="13"/>
  <c r="AG4" i="13"/>
  <c r="AI4" i="13"/>
  <c r="BK4" i="13"/>
  <c r="AK4" i="13"/>
  <c r="AE4" i="13"/>
  <c r="AR4" i="13"/>
  <c r="BD4" i="13"/>
  <c r="BP4" i="13"/>
  <c r="AH4" i="13"/>
  <c r="AL4" i="13"/>
  <c r="BM4" i="13"/>
  <c r="B36" i="13"/>
  <c r="AM53" i="13"/>
  <c r="B72" i="9"/>
  <c r="B15" i="13"/>
  <c r="B37" i="13"/>
  <c r="AV54" i="13"/>
  <c r="B8" i="13"/>
  <c r="B30" i="13"/>
  <c r="AF47" i="13"/>
  <c r="D10" i="13"/>
  <c r="BY32" i="13"/>
  <c r="D14" i="13"/>
  <c r="BG36" i="13"/>
  <c r="B31" i="13"/>
  <c r="BA31" i="13"/>
  <c r="D9" i="13"/>
  <c r="D6" i="13"/>
  <c r="BD28" i="13"/>
  <c r="BR5" i="13"/>
  <c r="B5" i="13"/>
  <c r="AR5" i="13"/>
  <c r="BP5" i="13"/>
  <c r="BS5" i="13"/>
  <c r="BT5" i="13"/>
  <c r="AM5" i="13"/>
  <c r="BN5" i="13"/>
  <c r="AX5" i="13"/>
  <c r="AW5" i="13"/>
  <c r="BF5" i="13"/>
  <c r="BI5" i="13"/>
  <c r="AH5" i="13"/>
  <c r="AY5" i="13"/>
  <c r="AL5" i="13"/>
  <c r="AZ5" i="13"/>
  <c r="AQ5" i="13"/>
  <c r="AT5" i="13"/>
  <c r="BU5" i="13"/>
  <c r="BC5" i="13"/>
  <c r="AI5" i="13"/>
  <c r="BE5" i="13"/>
  <c r="AP5" i="13"/>
  <c r="BH5" i="13"/>
  <c r="AG5" i="13"/>
  <c r="AE5" i="13"/>
  <c r="AU5" i="13"/>
  <c r="BO5" i="13"/>
  <c r="BD5" i="13"/>
  <c r="AO5" i="13"/>
  <c r="AF5" i="13"/>
  <c r="AV5" i="13"/>
  <c r="BA5" i="13"/>
  <c r="BB5" i="13"/>
  <c r="BG5" i="13"/>
  <c r="BL5" i="13"/>
  <c r="AS5" i="13"/>
  <c r="BQ5" i="13"/>
  <c r="AK5" i="13"/>
  <c r="BK5" i="13"/>
  <c r="BJ5" i="13"/>
  <c r="BM5" i="13"/>
  <c r="AJ5" i="13"/>
  <c r="AN5" i="13"/>
  <c r="T46" i="13"/>
  <c r="AK46" i="13"/>
  <c r="AP46" i="13"/>
  <c r="AV46" i="13"/>
  <c r="AM46" i="13"/>
  <c r="W46" i="13"/>
  <c r="Z46" i="13"/>
  <c r="AE46" i="13"/>
  <c r="AH46" i="13"/>
  <c r="AG46" i="13"/>
  <c r="AS46" i="13"/>
  <c r="AI46" i="13"/>
  <c r="AW46" i="13"/>
  <c r="Y46" i="13"/>
  <c r="AA46" i="13"/>
  <c r="AQ46" i="13"/>
  <c r="AT46" i="13"/>
  <c r="AU46" i="13"/>
  <c r="AD46" i="13"/>
  <c r="C112" i="13"/>
  <c r="AN46" i="13"/>
  <c r="AY46" i="13"/>
  <c r="AZ46" i="13"/>
  <c r="V46" i="13"/>
  <c r="AJ46" i="13"/>
  <c r="U46" i="13"/>
  <c r="AR46" i="13"/>
  <c r="AC46" i="13"/>
  <c r="AO46" i="13"/>
  <c r="X46" i="13"/>
  <c r="AB46" i="13"/>
  <c r="AF46" i="13"/>
  <c r="S46" i="13"/>
  <c r="AL46" i="13"/>
  <c r="AX46" i="13"/>
  <c r="B33" i="13"/>
  <c r="AY50" i="13"/>
  <c r="AC50" i="13"/>
  <c r="V50" i="13"/>
  <c r="BM33" i="13"/>
  <c r="AG50" i="13"/>
  <c r="B6" i="13"/>
  <c r="AH6" i="13"/>
  <c r="BE6" i="13"/>
  <c r="AW6" i="13"/>
  <c r="BH6" i="13"/>
  <c r="BB6" i="13"/>
  <c r="AT6" i="13"/>
  <c r="BR6" i="13"/>
  <c r="AY6" i="13"/>
  <c r="AM6" i="13"/>
  <c r="AZ6" i="13"/>
  <c r="BO6" i="13"/>
  <c r="BN6" i="13"/>
  <c r="AE6" i="13"/>
  <c r="AN6" i="13"/>
  <c r="AI6" i="13"/>
  <c r="AK6" i="13"/>
  <c r="BJ6" i="13"/>
  <c r="BM6" i="13"/>
  <c r="BQ6" i="13"/>
  <c r="AO6" i="13"/>
  <c r="AR6" i="13"/>
  <c r="BC6" i="13"/>
  <c r="AP6" i="13"/>
  <c r="BA6" i="13"/>
  <c r="BT6" i="13"/>
  <c r="BL6" i="13"/>
  <c r="AL6" i="13"/>
  <c r="BP6" i="13"/>
  <c r="AF6" i="13"/>
  <c r="AG6" i="13"/>
  <c r="AU6" i="13"/>
  <c r="AQ6" i="13"/>
  <c r="BF6" i="13"/>
  <c r="BU6" i="13"/>
  <c r="BG6" i="13"/>
  <c r="BK6" i="13"/>
  <c r="AV6" i="13"/>
  <c r="BD6" i="13"/>
  <c r="BS6" i="13"/>
  <c r="AX6" i="13"/>
  <c r="AJ6" i="13"/>
  <c r="BI6" i="13"/>
  <c r="AS6" i="13"/>
  <c r="B9" i="13"/>
  <c r="AW9" i="13"/>
  <c r="BE9" i="13"/>
  <c r="AP9" i="13"/>
  <c r="AX9" i="13"/>
  <c r="BA9" i="13"/>
  <c r="AJ9" i="13"/>
  <c r="BP9" i="13"/>
  <c r="AV9" i="13"/>
  <c r="AY9" i="13"/>
  <c r="AQ9" i="13"/>
  <c r="AS9" i="13"/>
  <c r="AE9" i="13"/>
  <c r="AK9" i="13"/>
  <c r="AT9" i="13"/>
  <c r="BS9" i="13"/>
  <c r="AI9" i="13"/>
  <c r="AM9" i="13"/>
  <c r="AO9" i="13"/>
  <c r="AF9" i="13"/>
  <c r="BT9" i="13"/>
  <c r="BR9" i="13"/>
  <c r="BK9" i="13"/>
  <c r="BL9" i="13"/>
  <c r="AL9" i="13"/>
  <c r="AU9" i="13"/>
  <c r="BD9" i="13"/>
  <c r="BH9" i="13"/>
  <c r="AR9" i="13"/>
  <c r="BG9" i="13"/>
  <c r="AZ9" i="13"/>
  <c r="BB9" i="13"/>
  <c r="AH9" i="13"/>
  <c r="BI9" i="13"/>
  <c r="BN9" i="13"/>
  <c r="BM9" i="13"/>
  <c r="BC9" i="13"/>
  <c r="AG9" i="13"/>
  <c r="BO9" i="13"/>
  <c r="BF9" i="13"/>
  <c r="BU9" i="13"/>
  <c r="BQ9" i="13"/>
  <c r="AN9" i="13"/>
  <c r="BJ9" i="13"/>
  <c r="AL50" i="13"/>
  <c r="B11" i="13"/>
  <c r="B32" i="13"/>
  <c r="T49" i="13"/>
  <c r="B10" i="13"/>
  <c r="B27" i="13"/>
  <c r="B14" i="13"/>
  <c r="AH53" i="13"/>
  <c r="D8" i="13"/>
  <c r="CC30" i="13"/>
  <c r="D11" i="13"/>
  <c r="BP33" i="13"/>
  <c r="D5" i="13"/>
  <c r="BJ27" i="13"/>
  <c r="B18" i="13"/>
  <c r="AI18" i="13"/>
  <c r="BP18" i="13"/>
  <c r="BF18" i="13"/>
  <c r="AZ18" i="13"/>
  <c r="BT18" i="13"/>
  <c r="BD18" i="13"/>
  <c r="BI18" i="13"/>
  <c r="AQ18" i="13"/>
  <c r="BG18" i="13"/>
  <c r="AN18" i="13"/>
  <c r="BQ18" i="13"/>
  <c r="AW18" i="13"/>
  <c r="BB18" i="13"/>
  <c r="BC18" i="13"/>
  <c r="AX18" i="13"/>
  <c r="AK18" i="13"/>
  <c r="BJ18" i="13"/>
  <c r="AU18" i="13"/>
  <c r="AY18" i="13"/>
  <c r="AE18" i="13"/>
  <c r="AH18" i="13"/>
  <c r="AM18" i="13"/>
  <c r="AP18" i="13"/>
  <c r="BK18" i="13"/>
  <c r="AV18" i="13"/>
  <c r="BU18" i="13"/>
  <c r="AJ18" i="13"/>
  <c r="AF18" i="13"/>
  <c r="BA18" i="13"/>
  <c r="BL18" i="13"/>
  <c r="BH18" i="13"/>
  <c r="BR18" i="13"/>
  <c r="BE18" i="13"/>
  <c r="AG18" i="13"/>
  <c r="AR18" i="13"/>
  <c r="BS18" i="13"/>
  <c r="BN18" i="13"/>
  <c r="BM18" i="13"/>
  <c r="AS18" i="13"/>
  <c r="AO18" i="13"/>
  <c r="AT18" i="13"/>
  <c r="BO18" i="13"/>
  <c r="AL18" i="13"/>
  <c r="W54" i="13"/>
  <c r="AR54" i="13"/>
  <c r="AZ54" i="13"/>
  <c r="AK54" i="13"/>
  <c r="V54" i="13"/>
  <c r="B12" i="13"/>
  <c r="AO12" i="13"/>
  <c r="BN12" i="13"/>
  <c r="BE12" i="13"/>
  <c r="AW12" i="13"/>
  <c r="AM12" i="13"/>
  <c r="AT12" i="13"/>
  <c r="BU12" i="13"/>
  <c r="BM12" i="13"/>
  <c r="AR12" i="13"/>
  <c r="BR12" i="13"/>
  <c r="AE12" i="13"/>
  <c r="BG12" i="13"/>
  <c r="BO12" i="13"/>
  <c r="AF12" i="13"/>
  <c r="AK12" i="13"/>
  <c r="BA12" i="13"/>
  <c r="BL12" i="13"/>
  <c r="AP12" i="13"/>
  <c r="BK12" i="13"/>
  <c r="BQ12" i="13"/>
  <c r="AL12" i="13"/>
  <c r="BT12" i="13"/>
  <c r="AJ12" i="13"/>
  <c r="AY12" i="13"/>
  <c r="AX12" i="13"/>
  <c r="AN12" i="13"/>
  <c r="AH12" i="13"/>
  <c r="BP12" i="13"/>
  <c r="AS12" i="13"/>
  <c r="BJ12" i="13"/>
  <c r="BF12" i="13"/>
  <c r="BI12" i="13"/>
  <c r="BS12" i="13"/>
  <c r="AI12" i="13"/>
  <c r="AZ12" i="13"/>
  <c r="AU12" i="13"/>
  <c r="AG12" i="13"/>
  <c r="BB12" i="13"/>
  <c r="AQ12" i="13"/>
  <c r="AV12" i="13"/>
  <c r="BH12" i="13"/>
  <c r="BD12" i="13"/>
  <c r="BC12" i="13"/>
  <c r="B17" i="13"/>
  <c r="AV17" i="13"/>
  <c r="AN17" i="13"/>
  <c r="AT17" i="13"/>
  <c r="AQ17" i="13"/>
  <c r="AW17" i="13"/>
  <c r="BF17" i="13"/>
  <c r="AU17" i="13"/>
  <c r="BH17" i="13"/>
  <c r="AE17" i="13"/>
  <c r="BD17" i="13"/>
  <c r="AP17" i="13"/>
  <c r="BS17" i="13"/>
  <c r="BG17" i="13"/>
  <c r="BE17" i="13"/>
  <c r="AS17" i="13"/>
  <c r="BK17" i="13"/>
  <c r="AM17" i="13"/>
  <c r="AY17" i="13"/>
  <c r="AG17" i="13"/>
  <c r="BI17" i="13"/>
  <c r="AL17" i="13"/>
  <c r="BC17" i="13"/>
  <c r="AO17" i="13"/>
  <c r="AJ17" i="13"/>
  <c r="BP17" i="13"/>
  <c r="BR17" i="13"/>
  <c r="BO17" i="13"/>
  <c r="BN17" i="13"/>
  <c r="BT17" i="13"/>
  <c r="AF17" i="13"/>
  <c r="AX17" i="13"/>
  <c r="BA17" i="13"/>
  <c r="BQ17" i="13"/>
  <c r="BM17" i="13"/>
  <c r="AH17" i="13"/>
  <c r="AZ17" i="13"/>
  <c r="BU17" i="13"/>
  <c r="AI17" i="13"/>
  <c r="AK17" i="13"/>
  <c r="BL17" i="13"/>
  <c r="BB17" i="13"/>
  <c r="BJ17" i="13"/>
  <c r="AR17" i="13"/>
  <c r="B40" i="13"/>
  <c r="D39" i="13"/>
  <c r="D17" i="13"/>
  <c r="AH83" i="12"/>
  <c r="B26" i="13"/>
  <c r="AV43" i="13"/>
  <c r="AJ45" i="13"/>
  <c r="D4" i="13"/>
  <c r="BU26" i="13"/>
  <c r="B34" i="13"/>
  <c r="BJ34" i="13"/>
  <c r="D12" i="13"/>
  <c r="BC40" i="13"/>
  <c r="AW40" i="13"/>
  <c r="BL40" i="13"/>
  <c r="BF40" i="13"/>
  <c r="BK40" i="13"/>
  <c r="AY40" i="13"/>
  <c r="BT40" i="13"/>
  <c r="AX40" i="13"/>
  <c r="AI40" i="13"/>
  <c r="BU40" i="13"/>
  <c r="AK40" i="13"/>
  <c r="AP40" i="13"/>
  <c r="BI40" i="13"/>
  <c r="BE40" i="13"/>
  <c r="AZ40" i="13"/>
  <c r="BR40" i="13"/>
  <c r="AO40" i="13"/>
  <c r="AF40" i="13"/>
  <c r="AE40" i="13"/>
  <c r="BJ40" i="13"/>
  <c r="BP40" i="13"/>
  <c r="AT40" i="13"/>
  <c r="AS40" i="13"/>
  <c r="BN40" i="13"/>
  <c r="BO40" i="13"/>
  <c r="BD40" i="13"/>
  <c r="BS40" i="13"/>
  <c r="BQ40" i="13"/>
  <c r="AJ40" i="13"/>
  <c r="BH40" i="13"/>
  <c r="AQ40" i="13"/>
  <c r="BB40" i="13"/>
  <c r="AV40" i="13"/>
  <c r="AH40" i="13"/>
  <c r="BG40" i="13"/>
  <c r="AM40" i="13"/>
  <c r="AN40" i="13"/>
  <c r="BA40" i="13"/>
  <c r="AL40" i="13"/>
  <c r="AG40" i="13"/>
  <c r="BM40" i="13"/>
  <c r="AU40" i="13"/>
  <c r="AR40" i="13"/>
  <c r="BB15" i="13"/>
  <c r="AF15" i="13"/>
  <c r="BN15" i="13"/>
  <c r="AE15" i="13"/>
  <c r="AH15" i="13"/>
  <c r="AY15" i="13"/>
  <c r="BL15" i="13"/>
  <c r="BH15" i="13"/>
  <c r="BF15" i="13"/>
  <c r="BQ15" i="13"/>
  <c r="AQ15" i="13"/>
  <c r="AW15" i="13"/>
  <c r="BI15" i="13"/>
  <c r="BP15" i="13"/>
  <c r="BD15" i="13"/>
  <c r="AV15" i="13"/>
  <c r="BE15" i="13"/>
  <c r="BA15" i="13"/>
  <c r="BO15" i="13"/>
  <c r="AI15" i="13"/>
  <c r="AL15" i="13"/>
  <c r="AS15" i="13"/>
  <c r="BK15" i="13"/>
  <c r="AT15" i="13"/>
  <c r="BU15" i="13"/>
  <c r="AN15" i="13"/>
  <c r="BS15" i="13"/>
  <c r="BR15" i="13"/>
  <c r="BT15" i="13"/>
  <c r="AO15" i="13"/>
  <c r="AK15" i="13"/>
  <c r="AJ15" i="13"/>
  <c r="AP15" i="13"/>
  <c r="AG15" i="13"/>
  <c r="BJ15" i="13"/>
  <c r="AU15" i="13"/>
  <c r="BM15" i="13"/>
  <c r="BG15" i="13"/>
  <c r="AZ15" i="13"/>
  <c r="BC15" i="13"/>
  <c r="AM15" i="13"/>
  <c r="AR15" i="13"/>
  <c r="AX15" i="13"/>
  <c r="CB34" i="13"/>
  <c r="BX34" i="13"/>
  <c r="BD34" i="13"/>
  <c r="BG34" i="13"/>
  <c r="BM34" i="13"/>
  <c r="AL51" i="13"/>
  <c r="BR34" i="13"/>
  <c r="BO34" i="13"/>
  <c r="BW34" i="13"/>
  <c r="AT51" i="13"/>
  <c r="BT34" i="13"/>
  <c r="AE51" i="13"/>
  <c r="BP34" i="13"/>
  <c r="BL34" i="13"/>
  <c r="BI34" i="13"/>
  <c r="BB34" i="13"/>
  <c r="BA34" i="13"/>
  <c r="BS34" i="13"/>
  <c r="BN34" i="13"/>
  <c r="BI39" i="13"/>
  <c r="BS39" i="13"/>
  <c r="B39" i="13"/>
  <c r="BC39" i="13"/>
  <c r="BB39" i="13"/>
  <c r="AT39" i="13"/>
  <c r="BM39" i="13"/>
  <c r="BL39" i="13"/>
  <c r="AN39" i="13"/>
  <c r="BE39" i="13"/>
  <c r="BP39" i="13"/>
  <c r="BJ39" i="13"/>
  <c r="AS39" i="13"/>
  <c r="AW39" i="13"/>
  <c r="BA39" i="13"/>
  <c r="AF39" i="13"/>
  <c r="AU39" i="13"/>
  <c r="BO39" i="13"/>
  <c r="BK39" i="13"/>
  <c r="AP39" i="13"/>
  <c r="AG39" i="13"/>
  <c r="AE39" i="13"/>
  <c r="BG39" i="13"/>
  <c r="AR39" i="13"/>
  <c r="AO39" i="13"/>
  <c r="AI39" i="13"/>
  <c r="AM39" i="13"/>
  <c r="BU39" i="13"/>
  <c r="AJ39" i="13"/>
  <c r="AL39" i="13"/>
  <c r="BR39" i="13"/>
  <c r="AV39" i="13"/>
  <c r="BT39" i="13"/>
  <c r="AZ39" i="13"/>
  <c r="AK39" i="13"/>
  <c r="BQ39" i="13"/>
  <c r="AQ39" i="13"/>
  <c r="BD39" i="13"/>
  <c r="AH39" i="13"/>
  <c r="BF39" i="13"/>
  <c r="AX39" i="13"/>
  <c r="AY39" i="13"/>
  <c r="BH39" i="13"/>
  <c r="BN39" i="13"/>
  <c r="F94" i="9"/>
  <c r="D40" i="13"/>
  <c r="D18" i="13"/>
  <c r="BS11" i="13"/>
  <c r="BK11" i="13"/>
  <c r="AX11" i="13"/>
  <c r="BG11" i="13"/>
  <c r="AN11" i="13"/>
  <c r="BJ11" i="13"/>
  <c r="AZ11" i="13"/>
  <c r="BP11" i="13"/>
  <c r="BE11" i="13"/>
  <c r="AY11" i="13"/>
  <c r="AM11" i="13"/>
  <c r="AR11" i="13"/>
  <c r="AV11" i="13"/>
  <c r="AL11" i="13"/>
  <c r="BU11" i="13"/>
  <c r="AH11" i="13"/>
  <c r="AO11" i="13"/>
  <c r="AI11" i="13"/>
  <c r="BN11" i="13"/>
  <c r="BC11" i="13"/>
  <c r="AT11" i="13"/>
  <c r="BF11" i="13"/>
  <c r="AQ11" i="13"/>
  <c r="AK11" i="13"/>
  <c r="AU11" i="13"/>
  <c r="BM11" i="13"/>
  <c r="BQ11" i="13"/>
  <c r="BI11" i="13"/>
  <c r="BD11" i="13"/>
  <c r="BB11" i="13"/>
  <c r="BH11" i="13"/>
  <c r="AP11" i="13"/>
  <c r="BT11" i="13"/>
  <c r="AS11" i="13"/>
  <c r="AW11" i="13"/>
  <c r="BR11" i="13"/>
  <c r="AE11" i="13"/>
  <c r="BO11" i="13"/>
  <c r="AG11" i="13"/>
  <c r="AF11" i="13"/>
  <c r="AJ11" i="13"/>
  <c r="BL11" i="13"/>
  <c r="BA11" i="13"/>
  <c r="D7" i="13"/>
  <c r="BP29" i="13"/>
  <c r="AH47" i="13"/>
  <c r="AK47" i="13"/>
  <c r="BK30" i="13"/>
  <c r="AJ47" i="13"/>
  <c r="BS10" i="13"/>
  <c r="BI10" i="13"/>
  <c r="AZ10" i="13"/>
  <c r="BJ10" i="13"/>
  <c r="BL10" i="13"/>
  <c r="BK10" i="13"/>
  <c r="AO10" i="13"/>
  <c r="BB10" i="13"/>
  <c r="BT10" i="13"/>
  <c r="BC10" i="13"/>
  <c r="AF10" i="13"/>
  <c r="BU10" i="13"/>
  <c r="BD10" i="13"/>
  <c r="BG10" i="13"/>
  <c r="BQ10" i="13"/>
  <c r="AH10" i="13"/>
  <c r="AW10" i="13"/>
  <c r="BE10" i="13"/>
  <c r="BM10" i="13"/>
  <c r="AI10" i="13"/>
  <c r="BA10" i="13"/>
  <c r="AV10" i="13"/>
  <c r="AJ10" i="13"/>
  <c r="BF10" i="13"/>
  <c r="AG10" i="13"/>
  <c r="BO10" i="13"/>
  <c r="BH10" i="13"/>
  <c r="AP10" i="13"/>
  <c r="AR10" i="13"/>
  <c r="AX10" i="13"/>
  <c r="AY10" i="13"/>
  <c r="AS10" i="13"/>
  <c r="AQ10" i="13"/>
  <c r="AK10" i="13"/>
  <c r="AT10" i="13"/>
  <c r="BP10" i="13"/>
  <c r="BR10" i="13"/>
  <c r="AN10" i="13"/>
  <c r="AE10" i="13"/>
  <c r="AU10" i="13"/>
  <c r="AM10" i="13"/>
  <c r="AL10" i="13"/>
  <c r="BN10" i="13"/>
  <c r="AR43" i="13"/>
  <c r="BO14" i="13"/>
  <c r="AV14" i="13"/>
  <c r="BM14" i="13"/>
  <c r="AT14" i="13"/>
  <c r="AR14" i="13"/>
  <c r="BD14" i="13"/>
  <c r="BK14" i="13"/>
  <c r="BH14" i="13"/>
  <c r="AU14" i="13"/>
  <c r="BP14" i="13"/>
  <c r="BG14" i="13"/>
  <c r="AN14" i="13"/>
  <c r="AE14" i="13"/>
  <c r="BL14" i="13"/>
  <c r="BS14" i="13"/>
  <c r="AY14" i="13"/>
  <c r="AX14" i="13"/>
  <c r="AK14" i="13"/>
  <c r="AM14" i="13"/>
  <c r="AO14" i="13"/>
  <c r="BF14" i="13"/>
  <c r="BT14" i="13"/>
  <c r="AP14" i="13"/>
  <c r="AS14" i="13"/>
  <c r="AW14" i="13"/>
  <c r="BN14" i="13"/>
  <c r="BU14" i="13"/>
  <c r="AZ14" i="13"/>
  <c r="AL14" i="13"/>
  <c r="BJ14" i="13"/>
  <c r="BR14" i="13"/>
  <c r="BA14" i="13"/>
  <c r="AH14" i="13"/>
  <c r="AG14" i="13"/>
  <c r="AJ14" i="13"/>
  <c r="BQ14" i="13"/>
  <c r="AQ14" i="13"/>
  <c r="BB14" i="13"/>
  <c r="AF14" i="13"/>
  <c r="BC14" i="13"/>
  <c r="BE14" i="13"/>
  <c r="AI14" i="13"/>
  <c r="BI14" i="13"/>
  <c r="H93" i="9"/>
  <c r="B83" i="9"/>
  <c r="AI51" i="13"/>
  <c r="AT48" i="13"/>
  <c r="C13" i="13"/>
  <c r="C35" i="13"/>
  <c r="D15" i="13"/>
  <c r="BQ37" i="13"/>
  <c r="AU8" i="13"/>
  <c r="BG8" i="13"/>
  <c r="BB8" i="13"/>
  <c r="AE8" i="13"/>
  <c r="BC8" i="13"/>
  <c r="BF8" i="13"/>
  <c r="AS8" i="13"/>
  <c r="AL8" i="13"/>
  <c r="AF8" i="13"/>
  <c r="AG8" i="13"/>
  <c r="BQ8" i="13"/>
  <c r="BA8" i="13"/>
  <c r="AN8" i="13"/>
  <c r="BP8" i="13"/>
  <c r="AM8" i="13"/>
  <c r="BK8" i="13"/>
  <c r="AW8" i="13"/>
  <c r="BI8" i="13"/>
  <c r="AV8" i="13"/>
  <c r="BD8" i="13"/>
  <c r="BT8" i="13"/>
  <c r="AJ8" i="13"/>
  <c r="BM8" i="13"/>
  <c r="BO8" i="13"/>
  <c r="BR8" i="13"/>
  <c r="AY8" i="13"/>
  <c r="BH8" i="13"/>
  <c r="AZ8" i="13"/>
  <c r="AK8" i="13"/>
  <c r="BL8" i="13"/>
  <c r="AX8" i="13"/>
  <c r="AH8" i="13"/>
  <c r="AO8" i="13"/>
  <c r="AI8" i="13"/>
  <c r="AR8" i="13"/>
  <c r="BJ8" i="13"/>
  <c r="AT8" i="13"/>
  <c r="BN8" i="13"/>
  <c r="BE8" i="13"/>
  <c r="AQ8" i="13"/>
  <c r="AP8" i="13"/>
  <c r="BS8" i="13"/>
  <c r="BU8" i="13"/>
  <c r="BV27" i="13"/>
  <c r="BX27" i="13"/>
  <c r="BC27" i="13"/>
  <c r="AH44" i="13"/>
  <c r="AT44" i="13"/>
  <c r="X44" i="13"/>
  <c r="AY44" i="13"/>
  <c r="Z44" i="13"/>
  <c r="BY27" i="13"/>
  <c r="S44" i="13"/>
  <c r="AN44" i="13"/>
  <c r="AQ44" i="13"/>
  <c r="AC44" i="13"/>
  <c r="W44" i="13"/>
  <c r="AS44" i="13"/>
  <c r="AR44" i="13"/>
  <c r="BL27" i="13"/>
  <c r="CB27" i="13"/>
  <c r="CF27" i="13"/>
  <c r="AD44" i="13"/>
  <c r="C110" i="13"/>
  <c r="AG44" i="13"/>
  <c r="BD27" i="13"/>
  <c r="CE27" i="13"/>
  <c r="AI44" i="13"/>
  <c r="BA27" i="13"/>
  <c r="BZ27" i="13"/>
  <c r="AB44" i="13"/>
  <c r="AU44" i="13"/>
  <c r="AL44" i="13"/>
  <c r="AV44" i="13"/>
  <c r="AK44" i="13"/>
  <c r="AW44" i="13"/>
  <c r="AF44" i="13"/>
  <c r="T44" i="13"/>
  <c r="AO44" i="13"/>
  <c r="AP44" i="13"/>
  <c r="AA44" i="13"/>
  <c r="AE44" i="13"/>
  <c r="AX44" i="13"/>
  <c r="AZ44" i="13"/>
  <c r="CA27" i="13"/>
  <c r="BT27" i="13"/>
  <c r="AM44" i="13"/>
  <c r="V44" i="13"/>
  <c r="Y44" i="13"/>
  <c r="U44" i="13"/>
  <c r="BE27" i="13"/>
  <c r="AJ44" i="13"/>
  <c r="AU7" i="13"/>
  <c r="BA7" i="13"/>
  <c r="BG7" i="13"/>
  <c r="AP7" i="13"/>
  <c r="BR7" i="13"/>
  <c r="AY7" i="13"/>
  <c r="AV7" i="13"/>
  <c r="AI7" i="13"/>
  <c r="AW7" i="13"/>
  <c r="BE7" i="13"/>
  <c r="AX7" i="13"/>
  <c r="AL7" i="13"/>
  <c r="BO7" i="13"/>
  <c r="BF7" i="13"/>
  <c r="BT7" i="13"/>
  <c r="AJ7" i="13"/>
  <c r="AK7" i="13"/>
  <c r="BU7" i="13"/>
  <c r="BD7" i="13"/>
  <c r="BQ7" i="13"/>
  <c r="BH7" i="13"/>
  <c r="AM7" i="13"/>
  <c r="BL7" i="13"/>
  <c r="BJ7" i="13"/>
  <c r="AR7" i="13"/>
  <c r="AT7" i="13"/>
  <c r="AF7" i="13"/>
  <c r="AQ7" i="13"/>
  <c r="AZ7" i="13"/>
  <c r="AS7" i="13"/>
  <c r="BN7" i="13"/>
  <c r="AO7" i="13"/>
  <c r="BK7" i="13"/>
  <c r="BP7" i="13"/>
  <c r="BS7" i="13"/>
  <c r="BM7" i="13"/>
  <c r="AE7" i="13"/>
  <c r="AG7" i="13"/>
  <c r="AN7" i="13"/>
  <c r="BB7" i="13"/>
  <c r="BI7" i="13"/>
  <c r="AH7" i="13"/>
  <c r="BC7" i="13"/>
  <c r="CE32" i="13"/>
  <c r="BI32" i="13"/>
  <c r="AC49" i="13"/>
  <c r="BT32" i="13"/>
  <c r="BZ32" i="13"/>
  <c r="CF32" i="13"/>
  <c r="C25" i="13"/>
  <c r="C3" i="13"/>
  <c r="H94" i="9"/>
  <c r="AH83" i="7"/>
  <c r="I74" i="1"/>
  <c r="L75" i="1"/>
  <c r="BR32" i="13"/>
  <c r="BO32" i="13"/>
  <c r="BE32" i="13"/>
  <c r="BD26" i="13"/>
  <c r="AA54" i="13"/>
  <c r="U54" i="13"/>
  <c r="U15" i="13"/>
  <c r="U71" i="13"/>
  <c r="V45" i="13"/>
  <c r="V6" i="13"/>
  <c r="V62" i="13"/>
  <c r="BX32" i="13"/>
  <c r="BV32" i="13"/>
  <c r="CG32" i="13"/>
  <c r="BD32" i="13"/>
  <c r="AY51" i="13"/>
  <c r="BZ34" i="13"/>
  <c r="BF34" i="13"/>
  <c r="CG34" i="13"/>
  <c r="CC34" i="13"/>
  <c r="BK34" i="13"/>
  <c r="CD34" i="13"/>
  <c r="BY34" i="13"/>
  <c r="BH34" i="13"/>
  <c r="BU34" i="13"/>
  <c r="AQ54" i="13"/>
  <c r="AQ71" i="13"/>
  <c r="AJ54" i="13"/>
  <c r="AS54" i="13"/>
  <c r="X54" i="13"/>
  <c r="X15" i="13"/>
  <c r="X71" i="13"/>
  <c r="AI54" i="13"/>
  <c r="AO50" i="13"/>
  <c r="AA50" i="13"/>
  <c r="AH45" i="13"/>
  <c r="AH62" i="13"/>
  <c r="BR30" i="13"/>
  <c r="AM54" i="13"/>
  <c r="AP54" i="13"/>
  <c r="L70" i="1"/>
  <c r="CD32" i="13"/>
  <c r="BU32" i="13"/>
  <c r="BM32" i="13"/>
  <c r="BF32" i="13"/>
  <c r="BK32" i="13"/>
  <c r="CB26" i="13"/>
  <c r="BY30" i="13"/>
  <c r="BO30" i="13"/>
  <c r="BC34" i="13"/>
  <c r="CE34" i="13"/>
  <c r="BV34" i="13"/>
  <c r="AN51" i="13"/>
  <c r="CF34" i="13"/>
  <c r="BE34" i="13"/>
  <c r="CA34" i="13"/>
  <c r="BQ34" i="13"/>
  <c r="S54" i="13"/>
  <c r="AE54" i="13"/>
  <c r="AH54" i="13"/>
  <c r="AH71" i="13"/>
  <c r="AT54" i="13"/>
  <c r="AT71" i="13"/>
  <c r="AD54" i="13"/>
  <c r="C120" i="13"/>
  <c r="BX33" i="13"/>
  <c r="CG33" i="13"/>
  <c r="AD53" i="13"/>
  <c r="C119" i="13"/>
  <c r="AU45" i="13"/>
  <c r="BR36" i="13"/>
  <c r="BV30" i="13"/>
  <c r="AA47" i="13"/>
  <c r="AA8" i="13"/>
  <c r="AA64" i="13"/>
  <c r="AP47" i="13"/>
  <c r="CC29" i="13"/>
  <c r="BE36" i="13"/>
  <c r="AA43" i="13"/>
  <c r="AA4" i="13"/>
  <c r="AA60" i="13"/>
  <c r="BE30" i="13"/>
  <c r="AB47" i="13"/>
  <c r="AV47" i="13"/>
  <c r="AS47" i="13"/>
  <c r="AS64" i="13"/>
  <c r="BA30" i="13"/>
  <c r="BQ30" i="13"/>
  <c r="U47" i="13"/>
  <c r="U8" i="13"/>
  <c r="U64" i="13"/>
  <c r="BC30" i="13"/>
  <c r="AU51" i="13"/>
  <c r="CG37" i="13"/>
  <c r="AH50" i="13"/>
  <c r="AH67" i="13"/>
  <c r="AW50" i="13"/>
  <c r="AU50" i="13"/>
  <c r="AZ50" i="13"/>
  <c r="AZ67" i="13"/>
  <c r="AT50" i="13"/>
  <c r="AT67" i="13"/>
  <c r="X53" i="13"/>
  <c r="AF53" i="13"/>
  <c r="Z53" i="13"/>
  <c r="Z14" i="13"/>
  <c r="Z70" i="13"/>
  <c r="CB28" i="13"/>
  <c r="BX28" i="13"/>
  <c r="AR45" i="13"/>
  <c r="AV45" i="13"/>
  <c r="CE36" i="13"/>
  <c r="BL28" i="13"/>
  <c r="BG30" i="13"/>
  <c r="CG30" i="13"/>
  <c r="S47" i="13"/>
  <c r="CB30" i="13"/>
  <c r="BC36" i="13"/>
  <c r="BO28" i="13"/>
  <c r="BF28" i="13"/>
  <c r="AT43" i="13"/>
  <c r="AT60" i="13"/>
  <c r="Y47" i="13"/>
  <c r="CA30" i="13"/>
  <c r="BD30" i="13"/>
  <c r="AO47" i="13"/>
  <c r="AT47" i="13"/>
  <c r="BN30" i="13"/>
  <c r="W47" i="13"/>
  <c r="W8" i="13"/>
  <c r="W64" i="13"/>
  <c r="AK51" i="13"/>
  <c r="AK68" i="13"/>
  <c r="U50" i="13"/>
  <c r="AE50" i="13"/>
  <c r="AE67" i="13"/>
  <c r="AJ50" i="13"/>
  <c r="AJ67" i="13"/>
  <c r="BC33" i="13"/>
  <c r="AV53" i="13"/>
  <c r="BY36" i="13"/>
  <c r="CD36" i="13"/>
  <c r="AL45" i="13"/>
  <c r="BT28" i="13"/>
  <c r="BM28" i="13"/>
  <c r="AX45" i="13"/>
  <c r="AX62" i="13"/>
  <c r="BU31" i="13"/>
  <c r="BY31" i="13"/>
  <c r="Y43" i="13"/>
  <c r="Y4" i="13"/>
  <c r="Y60" i="13"/>
  <c r="W43" i="13"/>
  <c r="W4" i="13"/>
  <c r="W60" i="13"/>
  <c r="BR37" i="13"/>
  <c r="BA33" i="13"/>
  <c r="BJ33" i="13"/>
  <c r="AA53" i="13"/>
  <c r="AA14" i="13"/>
  <c r="AA70" i="13"/>
  <c r="BB31" i="13"/>
  <c r="BJ31" i="13"/>
  <c r="BG31" i="13"/>
  <c r="BQ31" i="13"/>
  <c r="BP32" i="13"/>
  <c r="BQ32" i="13"/>
  <c r="BB32" i="13"/>
  <c r="BL32" i="13"/>
  <c r="CA32" i="13"/>
  <c r="BW32" i="13"/>
  <c r="BC32" i="13"/>
  <c r="BH32" i="13"/>
  <c r="BI27" i="13"/>
  <c r="BM27" i="13"/>
  <c r="BH27" i="13"/>
  <c r="BB27" i="13"/>
  <c r="CC27" i="13"/>
  <c r="BF27" i="13"/>
  <c r="BS27" i="13"/>
  <c r="CG27" i="13"/>
  <c r="BQ27" i="13"/>
  <c r="BU27" i="13"/>
  <c r="BK27" i="13"/>
  <c r="BO27" i="13"/>
  <c r="BP27" i="13"/>
  <c r="AN43" i="13"/>
  <c r="AN60" i="13"/>
  <c r="BV26" i="13"/>
  <c r="AY43" i="13"/>
  <c r="AY60" i="13"/>
  <c r="AZ43" i="13"/>
  <c r="AZ60" i="13"/>
  <c r="BY26" i="13"/>
  <c r="W51" i="13"/>
  <c r="W12" i="13"/>
  <c r="W68" i="13"/>
  <c r="S51" i="13"/>
  <c r="AX51" i="13"/>
  <c r="AX68" i="13"/>
  <c r="X51" i="13"/>
  <c r="X12" i="13"/>
  <c r="X68" i="13"/>
  <c r="BD37" i="13"/>
  <c r="AW54" i="13"/>
  <c r="AW71" i="13"/>
  <c r="CD37" i="13"/>
  <c r="BH37" i="13"/>
  <c r="AX54" i="13"/>
  <c r="AX71" i="13"/>
  <c r="AU54" i="13"/>
  <c r="AU71" i="13"/>
  <c r="Y54" i="13"/>
  <c r="Y15" i="13"/>
  <c r="Y71" i="13"/>
  <c r="T54" i="13"/>
  <c r="T15" i="13"/>
  <c r="T71" i="13"/>
  <c r="AB54" i="13"/>
  <c r="AB15" i="13"/>
  <c r="AB71" i="13"/>
  <c r="AN54" i="13"/>
  <c r="AN71" i="13"/>
  <c r="AM50" i="13"/>
  <c r="AM67" i="13"/>
  <c r="CE33" i="13"/>
  <c r="CD33" i="13"/>
  <c r="AR50" i="13"/>
  <c r="X50" i="13"/>
  <c r="X11" i="13"/>
  <c r="X67" i="13"/>
  <c r="BE33" i="13"/>
  <c r="BG33" i="13"/>
  <c r="BT33" i="13"/>
  <c r="AV50" i="13"/>
  <c r="AV67" i="13"/>
  <c r="BD29" i="13"/>
  <c r="AC53" i="13"/>
  <c r="AC14" i="13"/>
  <c r="AC70" i="13"/>
  <c r="BV36" i="13"/>
  <c r="AU53" i="13"/>
  <c r="AU70" i="13"/>
  <c r="S53" i="13"/>
  <c r="S14" i="13"/>
  <c r="S70" i="13"/>
  <c r="AK53" i="13"/>
  <c r="AK70" i="13"/>
  <c r="AS53" i="13"/>
  <c r="AS70" i="13"/>
  <c r="BW31" i="13"/>
  <c r="BF31" i="13"/>
  <c r="BC31" i="13"/>
  <c r="BM31" i="13"/>
  <c r="BI31" i="13"/>
  <c r="Z45" i="13"/>
  <c r="Z6" i="13"/>
  <c r="Z62" i="13"/>
  <c r="BI28" i="13"/>
  <c r="BZ28" i="13"/>
  <c r="AZ45" i="13"/>
  <c r="AZ62" i="13"/>
  <c r="AB45" i="13"/>
  <c r="AB6" i="13"/>
  <c r="AB62" i="13"/>
  <c r="AS45" i="13"/>
  <c r="AS62" i="13"/>
  <c r="AT45" i="13"/>
  <c r="AT62" i="13"/>
  <c r="BD31" i="13"/>
  <c r="BH31" i="13"/>
  <c r="BV31" i="13"/>
  <c r="AJ43" i="13"/>
  <c r="AX43" i="13"/>
  <c r="AX60" i="13"/>
  <c r="BR33" i="13"/>
  <c r="BC29" i="13"/>
  <c r="AB53" i="13"/>
  <c r="AB14" i="13"/>
  <c r="AB70" i="13"/>
  <c r="BG32" i="13"/>
  <c r="CC32" i="13"/>
  <c r="BA32" i="13"/>
  <c r="BJ32" i="13"/>
  <c r="CB32" i="13"/>
  <c r="BN32" i="13"/>
  <c r="BS32" i="13"/>
  <c r="X49" i="13"/>
  <c r="X10" i="13"/>
  <c r="X66" i="13"/>
  <c r="BW27" i="13"/>
  <c r="BG27" i="13"/>
  <c r="CD27" i="13"/>
  <c r="BN27" i="13"/>
  <c r="BR27" i="13"/>
  <c r="AD43" i="13"/>
  <c r="C109" i="13"/>
  <c r="BG26" i="13"/>
  <c r="AC43" i="13"/>
  <c r="AC4" i="13"/>
  <c r="AC60" i="13"/>
  <c r="T51" i="13"/>
  <c r="T12" i="13"/>
  <c r="T68" i="13"/>
  <c r="Y51" i="13"/>
  <c r="Y12" i="13"/>
  <c r="Y68" i="13"/>
  <c r="AJ51" i="13"/>
  <c r="AJ68" i="13"/>
  <c r="AO51" i="13"/>
  <c r="AO68" i="13"/>
  <c r="BJ37" i="13"/>
  <c r="AL54" i="13"/>
  <c r="AG54" i="13"/>
  <c r="AG71" i="13"/>
  <c r="AO54" i="13"/>
  <c r="AO71" i="13"/>
  <c r="AY54" i="13"/>
  <c r="AY71" i="13"/>
  <c r="AF54" i="13"/>
  <c r="Z54" i="13"/>
  <c r="Z15" i="13"/>
  <c r="Z71" i="13"/>
  <c r="AC54" i="13"/>
  <c r="BO33" i="13"/>
  <c r="BI33" i="13"/>
  <c r="BB33" i="13"/>
  <c r="BY29" i="13"/>
  <c r="AP53" i="13"/>
  <c r="AP70" i="13"/>
  <c r="AL53" i="13"/>
  <c r="AL70" i="13"/>
  <c r="AR53" i="13"/>
  <c r="AR70" i="13"/>
  <c r="AW53" i="13"/>
  <c r="AW70" i="13"/>
  <c r="AT53" i="13"/>
  <c r="AT70" i="13"/>
  <c r="AH83" i="8"/>
  <c r="BX31" i="13"/>
  <c r="BZ31" i="13"/>
  <c r="AK48" i="13"/>
  <c r="AK65" i="13"/>
  <c r="AN45" i="13"/>
  <c r="AN62" i="13"/>
  <c r="AD45" i="13"/>
  <c r="C111" i="13"/>
  <c r="AG45" i="13"/>
  <c r="AG62" i="13"/>
  <c r="AQ45" i="13"/>
  <c r="BV28" i="13"/>
  <c r="BH28" i="13"/>
  <c r="J4" i="13"/>
  <c r="J60" i="13"/>
  <c r="O4" i="13"/>
  <c r="O60" i="13"/>
  <c r="R4" i="13"/>
  <c r="R60" i="13"/>
  <c r="M4" i="13"/>
  <c r="M60" i="13"/>
  <c r="V4" i="13"/>
  <c r="AB4" i="13"/>
  <c r="H4" i="13"/>
  <c r="H60" i="13"/>
  <c r="Q4" i="13"/>
  <c r="Q60" i="13"/>
  <c r="L4" i="13"/>
  <c r="L60" i="13"/>
  <c r="G4" i="13"/>
  <c r="G60" i="13"/>
  <c r="F4" i="13"/>
  <c r="F60" i="13"/>
  <c r="I4" i="13"/>
  <c r="I60" i="13"/>
  <c r="X4" i="13"/>
  <c r="S4" i="13"/>
  <c r="AD4" i="13"/>
  <c r="P4" i="13"/>
  <c r="P60" i="13"/>
  <c r="Z4" i="13"/>
  <c r="K4" i="13"/>
  <c r="K60" i="13"/>
  <c r="N4" i="13"/>
  <c r="N60" i="13"/>
  <c r="U4" i="13"/>
  <c r="T4" i="13"/>
  <c r="M18" i="13"/>
  <c r="AD18" i="13"/>
  <c r="L18" i="13"/>
  <c r="AB18" i="13"/>
  <c r="W18" i="13"/>
  <c r="AC18" i="13"/>
  <c r="AA18" i="13"/>
  <c r="P18" i="13"/>
  <c r="I18" i="13"/>
  <c r="H18" i="13"/>
  <c r="U18" i="13"/>
  <c r="J18" i="13"/>
  <c r="Y18" i="13"/>
  <c r="G18" i="13"/>
  <c r="S18" i="13"/>
  <c r="T18" i="13"/>
  <c r="R18" i="13"/>
  <c r="F18" i="13"/>
  <c r="N18" i="13"/>
  <c r="Q18" i="13"/>
  <c r="Z18" i="13"/>
  <c r="V18" i="13"/>
  <c r="X18" i="13"/>
  <c r="K18" i="13"/>
  <c r="O18" i="13"/>
  <c r="E39" i="13"/>
  <c r="E17" i="13"/>
  <c r="CG54" i="13"/>
  <c r="CG71" i="13"/>
  <c r="CF54" i="13"/>
  <c r="CF71" i="13"/>
  <c r="BX54" i="13"/>
  <c r="BX71" i="13"/>
  <c r="BG54" i="13"/>
  <c r="BG71" i="13"/>
  <c r="CC54" i="13"/>
  <c r="CC71" i="13"/>
  <c r="BP54" i="13"/>
  <c r="BP71" i="13"/>
  <c r="BJ54" i="13"/>
  <c r="BJ71" i="13"/>
  <c r="BT54" i="13"/>
  <c r="BT71" i="13"/>
  <c r="BI54" i="13"/>
  <c r="BI71" i="13"/>
  <c r="BL54" i="13"/>
  <c r="BL71" i="13"/>
  <c r="BQ54" i="13"/>
  <c r="BQ71" i="13"/>
  <c r="BU54" i="13"/>
  <c r="BA54" i="13"/>
  <c r="BA71" i="13"/>
  <c r="BW54" i="13"/>
  <c r="BW71" i="13"/>
  <c r="BD54" i="13"/>
  <c r="BD71" i="13"/>
  <c r="CD54" i="13"/>
  <c r="CD71" i="13"/>
  <c r="CE54" i="13"/>
  <c r="CE71" i="13"/>
  <c r="BR54" i="13"/>
  <c r="BR71" i="13"/>
  <c r="BK54" i="13"/>
  <c r="BK71" i="13"/>
  <c r="BZ54" i="13"/>
  <c r="BZ71" i="13"/>
  <c r="BY54" i="13"/>
  <c r="BY71" i="13"/>
  <c r="BF54" i="13"/>
  <c r="BF71" i="13"/>
  <c r="BC54" i="13"/>
  <c r="BC71" i="13"/>
  <c r="BS54" i="13"/>
  <c r="BS71" i="13"/>
  <c r="BH54" i="13"/>
  <c r="BH71" i="13"/>
  <c r="CA54" i="13"/>
  <c r="CA71" i="13"/>
  <c r="BV54" i="13"/>
  <c r="BV71" i="13"/>
  <c r="BO54" i="13"/>
  <c r="BO71" i="13"/>
  <c r="BM54" i="13"/>
  <c r="BM71" i="13"/>
  <c r="CB54" i="13"/>
  <c r="CB71" i="13"/>
  <c r="BN54" i="13"/>
  <c r="BN71" i="13"/>
  <c r="BB54" i="13"/>
  <c r="BB71" i="13"/>
  <c r="BE54" i="13"/>
  <c r="BE71" i="13"/>
  <c r="CF37" i="13"/>
  <c r="CC37" i="13"/>
  <c r="BP37" i="13"/>
  <c r="BW37" i="13"/>
  <c r="BT37" i="13"/>
  <c r="BE37" i="13"/>
  <c r="BL37" i="13"/>
  <c r="BY37" i="13"/>
  <c r="BA37" i="13"/>
  <c r="BK37" i="13"/>
  <c r="BZ37" i="13"/>
  <c r="BI37" i="13"/>
  <c r="CB37" i="13"/>
  <c r="BC37" i="13"/>
  <c r="CE37" i="13"/>
  <c r="BU37" i="13"/>
  <c r="M31" i="13"/>
  <c r="I31" i="13"/>
  <c r="P31" i="13"/>
  <c r="K31" i="13"/>
  <c r="O31" i="13"/>
  <c r="L31" i="13"/>
  <c r="G31" i="13"/>
  <c r="N31" i="13"/>
  <c r="J31" i="13"/>
  <c r="H31" i="13"/>
  <c r="R31" i="13"/>
  <c r="Q31" i="13"/>
  <c r="S31" i="13"/>
  <c r="AH31" i="13"/>
  <c r="AJ31" i="13"/>
  <c r="AB31" i="13"/>
  <c r="AV31" i="13"/>
  <c r="AQ31" i="13"/>
  <c r="AE31" i="13"/>
  <c r="Y31" i="13"/>
  <c r="AW31" i="13"/>
  <c r="AI31" i="13"/>
  <c r="AF31" i="13"/>
  <c r="AL31" i="13"/>
  <c r="T31" i="13"/>
  <c r="AY31" i="13"/>
  <c r="AR31" i="13"/>
  <c r="AG31" i="13"/>
  <c r="AC31" i="13"/>
  <c r="AX31" i="13"/>
  <c r="W31" i="13"/>
  <c r="AD31" i="13"/>
  <c r="F31" i="13"/>
  <c r="AS31" i="13"/>
  <c r="U31" i="13"/>
  <c r="AZ31" i="13"/>
  <c r="Z31" i="13"/>
  <c r="AM31" i="13"/>
  <c r="AT31" i="13"/>
  <c r="X31" i="13"/>
  <c r="AK31" i="13"/>
  <c r="V31" i="13"/>
  <c r="AT65" i="13"/>
  <c r="AU31" i="13"/>
  <c r="AA31" i="13"/>
  <c r="AO31" i="13"/>
  <c r="AP31" i="13"/>
  <c r="AN31" i="13"/>
  <c r="AN48" i="13"/>
  <c r="AN65" i="13"/>
  <c r="AZ48" i="13"/>
  <c r="AZ65" i="13"/>
  <c r="U48" i="13"/>
  <c r="U9" i="13"/>
  <c r="U65" i="13"/>
  <c r="AE48" i="13"/>
  <c r="AE65" i="13"/>
  <c r="AJ48" i="13"/>
  <c r="AJ65" i="13"/>
  <c r="W48" i="13"/>
  <c r="W9" i="13"/>
  <c r="W65" i="13"/>
  <c r="V48" i="13"/>
  <c r="V9" i="13"/>
  <c r="V65" i="13"/>
  <c r="X48" i="13"/>
  <c r="X9" i="13"/>
  <c r="X65" i="13"/>
  <c r="AG48" i="13"/>
  <c r="AG65" i="13"/>
  <c r="AI48" i="13"/>
  <c r="AI65" i="13"/>
  <c r="Z48" i="13"/>
  <c r="Z9" i="13"/>
  <c r="Z65" i="13"/>
  <c r="AU48" i="13"/>
  <c r="AU65" i="13"/>
  <c r="AV48" i="13"/>
  <c r="AV65" i="13"/>
  <c r="AQ48" i="13"/>
  <c r="AQ65" i="13"/>
  <c r="S48" i="13"/>
  <c r="S9" i="13"/>
  <c r="S65" i="13"/>
  <c r="AF48" i="13"/>
  <c r="AF65" i="13"/>
  <c r="Y48" i="13"/>
  <c r="Y9" i="13"/>
  <c r="Y65" i="13"/>
  <c r="AW48" i="13"/>
  <c r="AW65" i="13"/>
  <c r="AM48" i="13"/>
  <c r="AM65" i="13"/>
  <c r="AL48" i="13"/>
  <c r="AL65" i="13"/>
  <c r="AH48" i="13"/>
  <c r="AH65" i="13"/>
  <c r="AD48" i="13"/>
  <c r="C114" i="13"/>
  <c r="T48" i="13"/>
  <c r="T9" i="13"/>
  <c r="T65" i="13"/>
  <c r="AC48" i="13"/>
  <c r="AC9" i="13"/>
  <c r="AC65" i="13"/>
  <c r="AR48" i="13"/>
  <c r="AR65" i="13"/>
  <c r="BP46" i="13"/>
  <c r="BP63" i="13"/>
  <c r="BY46" i="13"/>
  <c r="BY63" i="13"/>
  <c r="BE46" i="13"/>
  <c r="BE63" i="13"/>
  <c r="BT46" i="13"/>
  <c r="BT63" i="13"/>
  <c r="BH46" i="13"/>
  <c r="BH63" i="13"/>
  <c r="CE46" i="13"/>
  <c r="CE63" i="13"/>
  <c r="BF46" i="13"/>
  <c r="BF63" i="13"/>
  <c r="BJ46" i="13"/>
  <c r="BJ63" i="13"/>
  <c r="BL46" i="13"/>
  <c r="BL63" i="13"/>
  <c r="BW46" i="13"/>
  <c r="BW63" i="13"/>
  <c r="BM46" i="13"/>
  <c r="BM63" i="13"/>
  <c r="BG46" i="13"/>
  <c r="BG63" i="13"/>
  <c r="BN46" i="13"/>
  <c r="BN63" i="13"/>
  <c r="BV46" i="13"/>
  <c r="BV63" i="13"/>
  <c r="BR46" i="13"/>
  <c r="BR63" i="13"/>
  <c r="BD46" i="13"/>
  <c r="BD63" i="13"/>
  <c r="BS46" i="13"/>
  <c r="BS63" i="13"/>
  <c r="CA46" i="13"/>
  <c r="CA63" i="13"/>
  <c r="BA46" i="13"/>
  <c r="BA63" i="13"/>
  <c r="CG46" i="13"/>
  <c r="CG63" i="13"/>
  <c r="CF46" i="13"/>
  <c r="CF63" i="13"/>
  <c r="BQ46" i="13"/>
  <c r="BQ63" i="13"/>
  <c r="CB46" i="13"/>
  <c r="CB63" i="13"/>
  <c r="BU46" i="13"/>
  <c r="BO46" i="13"/>
  <c r="BO63" i="13"/>
  <c r="CC46" i="13"/>
  <c r="CC63" i="13"/>
  <c r="BX46" i="13"/>
  <c r="BX63" i="13"/>
  <c r="BK46" i="13"/>
  <c r="BK63" i="13"/>
  <c r="BZ46" i="13"/>
  <c r="BZ63" i="13"/>
  <c r="CD46" i="13"/>
  <c r="CD63" i="13"/>
  <c r="BI46" i="13"/>
  <c r="BI63" i="13"/>
  <c r="BB46" i="13"/>
  <c r="BB63" i="13"/>
  <c r="BC46" i="13"/>
  <c r="BC63" i="13"/>
  <c r="CF29" i="13"/>
  <c r="CD29" i="13"/>
  <c r="BF29" i="13"/>
  <c r="CA29" i="13"/>
  <c r="BR29" i="13"/>
  <c r="CE29" i="13"/>
  <c r="BM29" i="13"/>
  <c r="BK29" i="13"/>
  <c r="CB29" i="13"/>
  <c r="BL29" i="13"/>
  <c r="BV29" i="13"/>
  <c r="BX29" i="13"/>
  <c r="BJ29" i="13"/>
  <c r="BG29" i="13"/>
  <c r="CG29" i="13"/>
  <c r="BH29" i="13"/>
  <c r="BA29" i="13"/>
  <c r="BZ29" i="13"/>
  <c r="BT29" i="13"/>
  <c r="BE29" i="13"/>
  <c r="BW29" i="13"/>
  <c r="BO29" i="13"/>
  <c r="BQ29" i="13"/>
  <c r="CG4" i="13"/>
  <c r="CP4" i="13"/>
  <c r="CA4" i="13"/>
  <c r="CL4" i="13"/>
  <c r="BV4" i="13"/>
  <c r="CD4" i="13"/>
  <c r="CH4" i="13"/>
  <c r="CQ4" i="13"/>
  <c r="CF4" i="13"/>
  <c r="CK4" i="13"/>
  <c r="BW4" i="13"/>
  <c r="CE4" i="13"/>
  <c r="CC4" i="13"/>
  <c r="CO4" i="13"/>
  <c r="BZ4" i="13"/>
  <c r="BX4" i="13"/>
  <c r="CJ4" i="13"/>
  <c r="E4" i="13"/>
  <c r="CR4" i="13"/>
  <c r="CM4" i="13"/>
  <c r="CN4" i="13"/>
  <c r="CB4" i="13"/>
  <c r="CI4" i="13"/>
  <c r="BY4" i="13"/>
  <c r="AO26" i="13"/>
  <c r="Y26" i="13"/>
  <c r="O26" i="13"/>
  <c r="AD26" i="13"/>
  <c r="Z26" i="13"/>
  <c r="L26" i="13"/>
  <c r="AB26" i="13"/>
  <c r="P26" i="13"/>
  <c r="F26" i="13"/>
  <c r="AI26" i="13"/>
  <c r="AX26" i="13"/>
  <c r="AP26" i="13"/>
  <c r="W26" i="13"/>
  <c r="T26" i="13"/>
  <c r="AW26" i="13"/>
  <c r="I26" i="13"/>
  <c r="M26" i="13"/>
  <c r="AQ26" i="13"/>
  <c r="AK26" i="13"/>
  <c r="AJ26" i="13"/>
  <c r="AH26" i="13"/>
  <c r="AS26" i="13"/>
  <c r="X26" i="13"/>
  <c r="H26" i="13"/>
  <c r="S26" i="13"/>
  <c r="AV26" i="13"/>
  <c r="Q26" i="13"/>
  <c r="AR26" i="13"/>
  <c r="AF26" i="13"/>
  <c r="J26" i="13"/>
  <c r="AN26" i="13"/>
  <c r="U26" i="13"/>
  <c r="AZ26" i="13"/>
  <c r="AE26" i="13"/>
  <c r="AK43" i="13"/>
  <c r="AK60" i="13"/>
  <c r="AR60" i="13"/>
  <c r="AJ60" i="13"/>
  <c r="AY26" i="13"/>
  <c r="K26" i="13"/>
  <c r="N26" i="13"/>
  <c r="AM26" i="13"/>
  <c r="V26" i="13"/>
  <c r="AC26" i="13"/>
  <c r="AT26" i="13"/>
  <c r="AG26" i="13"/>
  <c r="R26" i="13"/>
  <c r="AU26" i="13"/>
  <c r="AV60" i="13"/>
  <c r="AA26" i="13"/>
  <c r="AL26" i="13"/>
  <c r="G26" i="13"/>
  <c r="V43" i="13"/>
  <c r="V60" i="13"/>
  <c r="AQ43" i="13"/>
  <c r="AQ60" i="13"/>
  <c r="AG43" i="13"/>
  <c r="AG60" i="13"/>
  <c r="AW43" i="13"/>
  <c r="AW60" i="13"/>
  <c r="Z43" i="13"/>
  <c r="Z60" i="13"/>
  <c r="AS43" i="13"/>
  <c r="AS60" i="13"/>
  <c r="AB43" i="13"/>
  <c r="AB60" i="13"/>
  <c r="AE43" i="13"/>
  <c r="AE60" i="13"/>
  <c r="AI43" i="13"/>
  <c r="AI60" i="13"/>
  <c r="T43" i="13"/>
  <c r="T60" i="13"/>
  <c r="S43" i="13"/>
  <c r="S60" i="13"/>
  <c r="U43" i="13"/>
  <c r="U60" i="13"/>
  <c r="AU43" i="13"/>
  <c r="AU60" i="13"/>
  <c r="AL43" i="13"/>
  <c r="AL60" i="13"/>
  <c r="AM43" i="13"/>
  <c r="AM60" i="13"/>
  <c r="AO43" i="13"/>
  <c r="AO60" i="13"/>
  <c r="X43" i="13"/>
  <c r="X60" i="13"/>
  <c r="CN39" i="13"/>
  <c r="CJ39" i="13"/>
  <c r="CD39" i="13"/>
  <c r="CK39" i="13"/>
  <c r="CI39" i="13"/>
  <c r="CG39" i="13"/>
  <c r="CF39" i="13"/>
  <c r="BY39" i="13"/>
  <c r="CE39" i="13"/>
  <c r="CP39" i="13"/>
  <c r="CA39" i="13"/>
  <c r="CB39" i="13"/>
  <c r="BV39" i="13"/>
  <c r="BX39" i="13"/>
  <c r="CH39" i="13"/>
  <c r="CR39" i="13"/>
  <c r="BW39" i="13"/>
  <c r="CC39" i="13"/>
  <c r="CL39" i="13"/>
  <c r="CQ39" i="13"/>
  <c r="CO39" i="13"/>
  <c r="CM39" i="13"/>
  <c r="BZ39" i="13"/>
  <c r="M40" i="13"/>
  <c r="W40" i="13"/>
  <c r="I40" i="13"/>
  <c r="AB40" i="13"/>
  <c r="K40" i="13"/>
  <c r="P40" i="13"/>
  <c r="T40" i="13"/>
  <c r="AC40" i="13"/>
  <c r="F40" i="13"/>
  <c r="G40" i="13"/>
  <c r="AA40" i="13"/>
  <c r="X40" i="13"/>
  <c r="S40" i="13"/>
  <c r="J40" i="13"/>
  <c r="U40" i="13"/>
  <c r="L40" i="13"/>
  <c r="O40" i="13"/>
  <c r="H40" i="13"/>
  <c r="Y40" i="13"/>
  <c r="N40" i="13"/>
  <c r="Z40" i="13"/>
  <c r="Q40" i="13"/>
  <c r="V40" i="13"/>
  <c r="R40" i="13"/>
  <c r="AD40" i="13"/>
  <c r="BJ47" i="13"/>
  <c r="BJ64" i="13"/>
  <c r="BM47" i="13"/>
  <c r="BM64" i="13"/>
  <c r="BC47" i="13"/>
  <c r="BC64" i="13"/>
  <c r="CC47" i="13"/>
  <c r="CC64" i="13"/>
  <c r="BX47" i="13"/>
  <c r="BX64" i="13"/>
  <c r="BA47" i="13"/>
  <c r="BA64" i="13"/>
  <c r="BZ47" i="13"/>
  <c r="BZ64" i="13"/>
  <c r="CD47" i="13"/>
  <c r="CD64" i="13"/>
  <c r="BO47" i="13"/>
  <c r="BO64" i="13"/>
  <c r="BK47" i="13"/>
  <c r="BK64" i="13"/>
  <c r="CB47" i="13"/>
  <c r="CB64" i="13"/>
  <c r="BT47" i="13"/>
  <c r="BT64" i="13"/>
  <c r="BV47" i="13"/>
  <c r="BV64" i="13"/>
  <c r="CF47" i="13"/>
  <c r="CF64" i="13"/>
  <c r="BR47" i="13"/>
  <c r="BR64" i="13"/>
  <c r="BW47" i="13"/>
  <c r="BW64" i="13"/>
  <c r="CG47" i="13"/>
  <c r="CG64" i="13"/>
  <c r="BP47" i="13"/>
  <c r="BP64" i="13"/>
  <c r="CA47" i="13"/>
  <c r="CA64" i="13"/>
  <c r="BL47" i="13"/>
  <c r="BL64" i="13"/>
  <c r="BU47" i="13"/>
  <c r="CE47" i="13"/>
  <c r="CE64" i="13"/>
  <c r="BE47" i="13"/>
  <c r="BE64" i="13"/>
  <c r="BI47" i="13"/>
  <c r="BI64" i="13"/>
  <c r="BY47" i="13"/>
  <c r="BY64" i="13"/>
  <c r="BD47" i="13"/>
  <c r="BD64" i="13"/>
  <c r="BN47" i="13"/>
  <c r="BN64" i="13"/>
  <c r="BG47" i="13"/>
  <c r="BG64" i="13"/>
  <c r="BF47" i="13"/>
  <c r="BF64" i="13"/>
  <c r="BH47" i="13"/>
  <c r="BH64" i="13"/>
  <c r="BS47" i="13"/>
  <c r="BS64" i="13"/>
  <c r="BQ47" i="13"/>
  <c r="BQ64" i="13"/>
  <c r="BB47" i="13"/>
  <c r="BB64" i="13"/>
  <c r="BL30" i="13"/>
  <c r="BU30" i="13"/>
  <c r="BF30" i="13"/>
  <c r="BX30" i="13"/>
  <c r="CF30" i="13"/>
  <c r="BT30" i="13"/>
  <c r="BZ30" i="13"/>
  <c r="BS30" i="13"/>
  <c r="BW30" i="13"/>
  <c r="BJ30" i="13"/>
  <c r="BB30" i="13"/>
  <c r="CD30" i="13"/>
  <c r="BP30" i="13"/>
  <c r="BH30" i="13"/>
  <c r="CE30" i="13"/>
  <c r="AD5" i="13"/>
  <c r="K5" i="13"/>
  <c r="K61" i="13"/>
  <c r="V5" i="13"/>
  <c r="Z5" i="13"/>
  <c r="G5" i="13"/>
  <c r="G61" i="13"/>
  <c r="Q5" i="13"/>
  <c r="Q61" i="13"/>
  <c r="X5" i="13"/>
  <c r="W5" i="13"/>
  <c r="U5" i="13"/>
  <c r="Y5" i="13"/>
  <c r="R5" i="13"/>
  <c r="R61" i="13"/>
  <c r="I5" i="13"/>
  <c r="I61" i="13"/>
  <c r="L5" i="13"/>
  <c r="L61" i="13"/>
  <c r="H5" i="13"/>
  <c r="H61" i="13"/>
  <c r="N5" i="13"/>
  <c r="N61" i="13"/>
  <c r="M5" i="13"/>
  <c r="M61" i="13"/>
  <c r="J5" i="13"/>
  <c r="J61" i="13"/>
  <c r="AA5" i="13"/>
  <c r="O5" i="13"/>
  <c r="O61" i="13"/>
  <c r="P5" i="13"/>
  <c r="P61" i="13"/>
  <c r="AB5" i="13"/>
  <c r="AC5" i="13"/>
  <c r="T5" i="13"/>
  <c r="F5" i="13"/>
  <c r="F61" i="13"/>
  <c r="S5" i="13"/>
  <c r="T11" i="13"/>
  <c r="I11" i="13"/>
  <c r="I67" i="13"/>
  <c r="V11" i="13"/>
  <c r="N11" i="13"/>
  <c r="N67" i="13"/>
  <c r="M11" i="13"/>
  <c r="M67" i="13"/>
  <c r="AC11" i="13"/>
  <c r="W11" i="13"/>
  <c r="G11" i="13"/>
  <c r="G67" i="13"/>
  <c r="Q11" i="13"/>
  <c r="Q67" i="13"/>
  <c r="AA11" i="13"/>
  <c r="O11" i="13"/>
  <c r="O67" i="13"/>
  <c r="Y11" i="13"/>
  <c r="S11" i="13"/>
  <c r="H11" i="13"/>
  <c r="H67" i="13"/>
  <c r="Z11" i="13"/>
  <c r="U11" i="13"/>
  <c r="L11" i="13"/>
  <c r="L67" i="13"/>
  <c r="AB11" i="13"/>
  <c r="P11" i="13"/>
  <c r="P67" i="13"/>
  <c r="K11" i="13"/>
  <c r="K67" i="13"/>
  <c r="J11" i="13"/>
  <c r="J67" i="13"/>
  <c r="F11" i="13"/>
  <c r="F67" i="13"/>
  <c r="R11" i="13"/>
  <c r="R67" i="13"/>
  <c r="AD11" i="13"/>
  <c r="CK6" i="13"/>
  <c r="CC6" i="13"/>
  <c r="CB6" i="13"/>
  <c r="BY6" i="13"/>
  <c r="CH6" i="13"/>
  <c r="CN6" i="13"/>
  <c r="CF6" i="13"/>
  <c r="BZ6" i="13"/>
  <c r="CP6" i="13"/>
  <c r="E6" i="13"/>
  <c r="CR6" i="13"/>
  <c r="CE6" i="13"/>
  <c r="CD6" i="13"/>
  <c r="CL6" i="13"/>
  <c r="BV6" i="13"/>
  <c r="CI6" i="13"/>
  <c r="CA6" i="13"/>
  <c r="CG6" i="13"/>
  <c r="CO6" i="13"/>
  <c r="CJ6" i="13"/>
  <c r="BW6" i="13"/>
  <c r="BX6" i="13"/>
  <c r="CQ6" i="13"/>
  <c r="CM6" i="13"/>
  <c r="BX14" i="13"/>
  <c r="E14" i="13"/>
  <c r="CR14" i="13"/>
  <c r="CK14" i="13"/>
  <c r="BZ14" i="13"/>
  <c r="BW14" i="13"/>
  <c r="CA14" i="13"/>
  <c r="CG14" i="13"/>
  <c r="CD14" i="13"/>
  <c r="CF14" i="13"/>
  <c r="CH14" i="13"/>
  <c r="CC14" i="13"/>
  <c r="CO14" i="13"/>
  <c r="CB14" i="13"/>
  <c r="CJ14" i="13"/>
  <c r="BV14" i="13"/>
  <c r="BY14" i="13"/>
  <c r="CQ14" i="13"/>
  <c r="CP14" i="13"/>
  <c r="CM14" i="13"/>
  <c r="CN14" i="13"/>
  <c r="CL14" i="13"/>
  <c r="CE14" i="13"/>
  <c r="CI14" i="13"/>
  <c r="AC8" i="13"/>
  <c r="X8" i="13"/>
  <c r="F8" i="13"/>
  <c r="F64" i="13"/>
  <c r="R8" i="13"/>
  <c r="R64" i="13"/>
  <c r="Q8" i="13"/>
  <c r="Q64" i="13"/>
  <c r="AD8" i="13"/>
  <c r="V8" i="13"/>
  <c r="Y8" i="13"/>
  <c r="Z8" i="13"/>
  <c r="H8" i="13"/>
  <c r="H64" i="13"/>
  <c r="O8" i="13"/>
  <c r="O64" i="13"/>
  <c r="P8" i="13"/>
  <c r="P64" i="13"/>
  <c r="S8" i="13"/>
  <c r="AB8" i="13"/>
  <c r="J8" i="13"/>
  <c r="J64" i="13"/>
  <c r="M8" i="13"/>
  <c r="M64" i="13"/>
  <c r="T8" i="13"/>
  <c r="G8" i="13"/>
  <c r="G64" i="13"/>
  <c r="I8" i="13"/>
  <c r="I64" i="13"/>
  <c r="L8" i="13"/>
  <c r="L64" i="13"/>
  <c r="K8" i="13"/>
  <c r="K64" i="13"/>
  <c r="N8" i="13"/>
  <c r="N64" i="13"/>
  <c r="B25" i="13"/>
  <c r="AU42" i="13"/>
  <c r="B3" i="13"/>
  <c r="CJ32" i="13"/>
  <c r="E10" i="13"/>
  <c r="CP28" i="13"/>
  <c r="CL31" i="13"/>
  <c r="E9" i="13"/>
  <c r="AO49" i="13"/>
  <c r="AO66" i="13"/>
  <c r="AH49" i="13"/>
  <c r="AH66" i="13"/>
  <c r="AQ49" i="13"/>
  <c r="AQ66" i="13"/>
  <c r="AW49" i="13"/>
  <c r="AW66" i="13"/>
  <c r="W49" i="13"/>
  <c r="W10" i="13"/>
  <c r="W66" i="13"/>
  <c r="AP49" i="13"/>
  <c r="AP66" i="13"/>
  <c r="V49" i="13"/>
  <c r="V10" i="13"/>
  <c r="V66" i="13"/>
  <c r="BN26" i="13"/>
  <c r="CE26" i="13"/>
  <c r="BE26" i="13"/>
  <c r="CG26" i="13"/>
  <c r="BN37" i="13"/>
  <c r="BV37" i="13"/>
  <c r="BX37" i="13"/>
  <c r="BM37" i="13"/>
  <c r="CA37" i="13"/>
  <c r="BN29" i="13"/>
  <c r="BB29" i="13"/>
  <c r="BS29" i="13"/>
  <c r="AO48" i="13"/>
  <c r="AO65" i="13"/>
  <c r="AP48" i="13"/>
  <c r="AP65" i="13"/>
  <c r="AX48" i="13"/>
  <c r="AX65" i="13"/>
  <c r="AB48" i="13"/>
  <c r="AB9" i="13"/>
  <c r="AB65" i="13"/>
  <c r="CE43" i="13"/>
  <c r="CE60" i="13"/>
  <c r="BG43" i="13"/>
  <c r="BG60" i="13"/>
  <c r="BW43" i="13"/>
  <c r="BW60" i="13"/>
  <c r="BZ43" i="13"/>
  <c r="BZ60" i="13"/>
  <c r="BU43" i="13"/>
  <c r="BT43" i="13"/>
  <c r="BT60" i="13"/>
  <c r="CB43" i="13"/>
  <c r="CB60" i="13"/>
  <c r="BI43" i="13"/>
  <c r="BI60" i="13"/>
  <c r="BR43" i="13"/>
  <c r="BR60" i="13"/>
  <c r="BL43" i="13"/>
  <c r="BL60" i="13"/>
  <c r="CC43" i="13"/>
  <c r="CC60" i="13"/>
  <c r="BS43" i="13"/>
  <c r="BS60" i="13"/>
  <c r="CA43" i="13"/>
  <c r="CA60" i="13"/>
  <c r="CG43" i="13"/>
  <c r="CG60" i="13"/>
  <c r="BE43" i="13"/>
  <c r="BE60" i="13"/>
  <c r="BY43" i="13"/>
  <c r="BY60" i="13"/>
  <c r="BO43" i="13"/>
  <c r="BO60" i="13"/>
  <c r="BV43" i="13"/>
  <c r="BV60" i="13"/>
  <c r="BB43" i="13"/>
  <c r="BB60" i="13"/>
  <c r="BA43" i="13"/>
  <c r="BA60" i="13"/>
  <c r="BM43" i="13"/>
  <c r="BM60" i="13"/>
  <c r="BJ43" i="13"/>
  <c r="BJ60" i="13"/>
  <c r="BX43" i="13"/>
  <c r="BX60" i="13"/>
  <c r="CD43" i="13"/>
  <c r="CD60" i="13"/>
  <c r="BF43" i="13"/>
  <c r="BF60" i="13"/>
  <c r="BH43" i="13"/>
  <c r="BH60" i="13"/>
  <c r="BD43" i="13"/>
  <c r="BD60" i="13"/>
  <c r="BN43" i="13"/>
  <c r="BN60" i="13"/>
  <c r="BC43" i="13"/>
  <c r="BC60" i="13"/>
  <c r="BQ43" i="13"/>
  <c r="BQ60" i="13"/>
  <c r="BK43" i="13"/>
  <c r="BK60" i="13"/>
  <c r="BP43" i="13"/>
  <c r="BP60" i="13"/>
  <c r="CF43" i="13"/>
  <c r="CF60" i="13"/>
  <c r="BK26" i="13"/>
  <c r="BA26" i="13"/>
  <c r="BI26" i="13"/>
  <c r="CC26" i="13"/>
  <c r="BL26" i="13"/>
  <c r="BW26" i="13"/>
  <c r="BS26" i="13"/>
  <c r="BC26" i="13"/>
  <c r="BQ26" i="13"/>
  <c r="CA26" i="13"/>
  <c r="CF26" i="13"/>
  <c r="BH26" i="13"/>
  <c r="BX26" i="13"/>
  <c r="BJ26" i="13"/>
  <c r="BP26" i="13"/>
  <c r="CM17" i="13"/>
  <c r="BX17" i="13"/>
  <c r="BY17" i="13"/>
  <c r="CI17" i="13"/>
  <c r="CB17" i="13"/>
  <c r="CO17" i="13"/>
  <c r="CF17" i="13"/>
  <c r="CQ17" i="13"/>
  <c r="CN17" i="13"/>
  <c r="CD17" i="13"/>
  <c r="CP17" i="13"/>
  <c r="CJ17" i="13"/>
  <c r="BZ17" i="13"/>
  <c r="CH17" i="13"/>
  <c r="CG17" i="13"/>
  <c r="CR17" i="13"/>
  <c r="CK17" i="13"/>
  <c r="BV17" i="13"/>
  <c r="CA17" i="13"/>
  <c r="BW17" i="13"/>
  <c r="CC17" i="13"/>
  <c r="CL17" i="13"/>
  <c r="CE17" i="13"/>
  <c r="CA5" i="13"/>
  <c r="BW5" i="13"/>
  <c r="CI5" i="13"/>
  <c r="CE5" i="13"/>
  <c r="CG5" i="13"/>
  <c r="CL5" i="13"/>
  <c r="CD5" i="13"/>
  <c r="BV5" i="13"/>
  <c r="E5" i="13"/>
  <c r="CR5" i="13"/>
  <c r="CK5" i="13"/>
  <c r="CN5" i="13"/>
  <c r="CB5" i="13"/>
  <c r="CF5" i="13"/>
  <c r="CH5" i="13"/>
  <c r="CC5" i="13"/>
  <c r="CO5" i="13"/>
  <c r="BZ5" i="13"/>
  <c r="CQ5" i="13"/>
  <c r="BY5" i="13"/>
  <c r="CP5" i="13"/>
  <c r="BX5" i="13"/>
  <c r="CM5" i="13"/>
  <c r="CJ5" i="13"/>
  <c r="CL11" i="13"/>
  <c r="CA11" i="13"/>
  <c r="BZ11" i="13"/>
  <c r="CD11" i="13"/>
  <c r="CB11" i="13"/>
  <c r="BX11" i="13"/>
  <c r="CO11" i="13"/>
  <c r="CG11" i="13"/>
  <c r="CN11" i="13"/>
  <c r="CC11" i="13"/>
  <c r="CJ11" i="13"/>
  <c r="CP11" i="13"/>
  <c r="E11" i="13"/>
  <c r="CR11" i="13"/>
  <c r="BY11" i="13"/>
  <c r="BW11" i="13"/>
  <c r="BV11" i="13"/>
  <c r="CQ11" i="13"/>
  <c r="CK11" i="13"/>
  <c r="CI11" i="13"/>
  <c r="CF11" i="13"/>
  <c r="CE11" i="13"/>
  <c r="CH11" i="13"/>
  <c r="CM11" i="13"/>
  <c r="H14" i="13"/>
  <c r="H70" i="13"/>
  <c r="N14" i="13"/>
  <c r="N70" i="13"/>
  <c r="Q14" i="13"/>
  <c r="Q70" i="13"/>
  <c r="F14" i="13"/>
  <c r="F70" i="13"/>
  <c r="M14" i="13"/>
  <c r="M70" i="13"/>
  <c r="X14" i="13"/>
  <c r="G14" i="13"/>
  <c r="G70" i="13"/>
  <c r="W14" i="13"/>
  <c r="AD14" i="13"/>
  <c r="T14" i="13"/>
  <c r="O14" i="13"/>
  <c r="O70" i="13"/>
  <c r="V14" i="13"/>
  <c r="L14" i="13"/>
  <c r="L70" i="13"/>
  <c r="P14" i="13"/>
  <c r="P70" i="13"/>
  <c r="Y14" i="13"/>
  <c r="K14" i="13"/>
  <c r="K70" i="13"/>
  <c r="U14" i="13"/>
  <c r="J14" i="13"/>
  <c r="J70" i="13"/>
  <c r="R14" i="13"/>
  <c r="R70" i="13"/>
  <c r="I14" i="13"/>
  <c r="I70" i="13"/>
  <c r="V32" i="13"/>
  <c r="AU32" i="13"/>
  <c r="M32" i="13"/>
  <c r="AY32" i="13"/>
  <c r="X32" i="13"/>
  <c r="R32" i="13"/>
  <c r="H32" i="13"/>
  <c r="K32" i="13"/>
  <c r="J32" i="13"/>
  <c r="AL32" i="13"/>
  <c r="N32" i="13"/>
  <c r="P32" i="13"/>
  <c r="F32" i="13"/>
  <c r="Z32" i="13"/>
  <c r="I32" i="13"/>
  <c r="O32" i="13"/>
  <c r="T10" i="13"/>
  <c r="T66" i="13"/>
  <c r="AC10" i="13"/>
  <c r="AC66" i="13"/>
  <c r="AQ32" i="13"/>
  <c r="AL49" i="13"/>
  <c r="AL66" i="13"/>
  <c r="AB32" i="13"/>
  <c r="T32" i="13"/>
  <c r="AE32" i="13"/>
  <c r="AA32" i="13"/>
  <c r="AV32" i="13"/>
  <c r="L32" i="13"/>
  <c r="AJ32" i="13"/>
  <c r="W32" i="13"/>
  <c r="AW32" i="13"/>
  <c r="U32" i="13"/>
  <c r="AN32" i="13"/>
  <c r="AX32" i="13"/>
  <c r="AO32" i="13"/>
  <c r="G32" i="13"/>
  <c r="S32" i="13"/>
  <c r="AS32" i="13"/>
  <c r="AH32" i="13"/>
  <c r="AF32" i="13"/>
  <c r="AZ32" i="13"/>
  <c r="AM32" i="13"/>
  <c r="AP32" i="13"/>
  <c r="Y32" i="13"/>
  <c r="AG32" i="13"/>
  <c r="AK32" i="13"/>
  <c r="AD32" i="13"/>
  <c r="Q32" i="13"/>
  <c r="AR32" i="13"/>
  <c r="AC32" i="13"/>
  <c r="AT32" i="13"/>
  <c r="AI32" i="13"/>
  <c r="Z49" i="13"/>
  <c r="Z10" i="13"/>
  <c r="Z66" i="13"/>
  <c r="AY49" i="13"/>
  <c r="AY66" i="13"/>
  <c r="AD49" i="13"/>
  <c r="C115" i="13"/>
  <c r="S49" i="13"/>
  <c r="S10" i="13"/>
  <c r="S66" i="13"/>
  <c r="AJ49" i="13"/>
  <c r="AJ66" i="13"/>
  <c r="AX49" i="13"/>
  <c r="AX66" i="13"/>
  <c r="AM49" i="13"/>
  <c r="AM66" i="13"/>
  <c r="AZ49" i="13"/>
  <c r="AZ66" i="13"/>
  <c r="AK49" i="13"/>
  <c r="AK66" i="13"/>
  <c r="AF49" i="13"/>
  <c r="AF66" i="13"/>
  <c r="AG49" i="13"/>
  <c r="AG66" i="13"/>
  <c r="Y49" i="13"/>
  <c r="Y10" i="13"/>
  <c r="Y66" i="13"/>
  <c r="AU49" i="13"/>
  <c r="AU66" i="13"/>
  <c r="AB49" i="13"/>
  <c r="AB10" i="13"/>
  <c r="AB66" i="13"/>
  <c r="U49" i="13"/>
  <c r="U10" i="13"/>
  <c r="U66" i="13"/>
  <c r="AN49" i="13"/>
  <c r="AN66" i="13"/>
  <c r="AT49" i="13"/>
  <c r="AT66" i="13"/>
  <c r="AS49" i="13"/>
  <c r="AS66" i="13"/>
  <c r="AI49" i="13"/>
  <c r="AI66" i="13"/>
  <c r="AE49" i="13"/>
  <c r="AE66" i="13"/>
  <c r="I93" i="9"/>
  <c r="CO15" i="13"/>
  <c r="CG15" i="13"/>
  <c r="CI15" i="13"/>
  <c r="CN15" i="13"/>
  <c r="CM15" i="13"/>
  <c r="CQ15" i="13"/>
  <c r="BV15" i="13"/>
  <c r="E15" i="13"/>
  <c r="CR15" i="13"/>
  <c r="CB15" i="13"/>
  <c r="CA15" i="13"/>
  <c r="BY15" i="13"/>
  <c r="CF15" i="13"/>
  <c r="CL15" i="13"/>
  <c r="CP15" i="13"/>
  <c r="BZ15" i="13"/>
  <c r="CK15" i="13"/>
  <c r="CC15" i="13"/>
  <c r="BX15" i="13"/>
  <c r="CE15" i="13"/>
  <c r="CD15" i="13"/>
  <c r="CH15" i="13"/>
  <c r="CJ15" i="13"/>
  <c r="BW15" i="13"/>
  <c r="L9" i="13"/>
  <c r="L65" i="13"/>
  <c r="I9" i="13"/>
  <c r="I65" i="13"/>
  <c r="P9" i="13"/>
  <c r="P65" i="13"/>
  <c r="R9" i="13"/>
  <c r="R65" i="13"/>
  <c r="AD9" i="13"/>
  <c r="J9" i="13"/>
  <c r="J65" i="13"/>
  <c r="F9" i="13"/>
  <c r="F65" i="13"/>
  <c r="G9" i="13"/>
  <c r="G65" i="13"/>
  <c r="AA9" i="13"/>
  <c r="K9" i="13"/>
  <c r="K65" i="13"/>
  <c r="H9" i="13"/>
  <c r="H65" i="13"/>
  <c r="N9" i="13"/>
  <c r="N65" i="13"/>
  <c r="Q9" i="13"/>
  <c r="Q65" i="13"/>
  <c r="O9" i="13"/>
  <c r="O65" i="13"/>
  <c r="M9" i="13"/>
  <c r="M65" i="13"/>
  <c r="B35" i="13"/>
  <c r="B13" i="13"/>
  <c r="BV7" i="13"/>
  <c r="BZ7" i="13"/>
  <c r="CO7" i="13"/>
  <c r="E7" i="13"/>
  <c r="CR7" i="13"/>
  <c r="CK7" i="13"/>
  <c r="CH7" i="13"/>
  <c r="CJ7" i="13"/>
  <c r="BW7" i="13"/>
  <c r="CI7" i="13"/>
  <c r="CA7" i="13"/>
  <c r="CL7" i="13"/>
  <c r="CM7" i="13"/>
  <c r="BX7" i="13"/>
  <c r="CE7" i="13"/>
  <c r="CQ7" i="13"/>
  <c r="CG7" i="13"/>
  <c r="CN7" i="13"/>
  <c r="CD7" i="13"/>
  <c r="CP7" i="13"/>
  <c r="CC7" i="13"/>
  <c r="BY7" i="13"/>
  <c r="CB7" i="13"/>
  <c r="CF7" i="13"/>
  <c r="CM18" i="13"/>
  <c r="CD18" i="13"/>
  <c r="BY18" i="13"/>
  <c r="CH18" i="13"/>
  <c r="CC18" i="13"/>
  <c r="CF18" i="13"/>
  <c r="CK18" i="13"/>
  <c r="CL18" i="13"/>
  <c r="CI18" i="13"/>
  <c r="CB18" i="13"/>
  <c r="CE18" i="13"/>
  <c r="E18" i="13"/>
  <c r="CR18" i="13"/>
  <c r="CN18" i="13"/>
  <c r="CP18" i="13"/>
  <c r="CJ18" i="13"/>
  <c r="BV18" i="13"/>
  <c r="CA18" i="13"/>
  <c r="CG18" i="13"/>
  <c r="BW18" i="13"/>
  <c r="CQ18" i="13"/>
  <c r="BX18" i="13"/>
  <c r="BZ18" i="13"/>
  <c r="CO18" i="13"/>
  <c r="BR26" i="13"/>
  <c r="BZ26" i="13"/>
  <c r="BT26" i="13"/>
  <c r="BG37" i="13"/>
  <c r="BO37" i="13"/>
  <c r="AY48" i="13"/>
  <c r="AY65" i="13"/>
  <c r="AA48" i="13"/>
  <c r="AA65" i="13"/>
  <c r="AR49" i="13"/>
  <c r="AR66" i="13"/>
  <c r="AV49" i="13"/>
  <c r="AV66" i="13"/>
  <c r="AA49" i="13"/>
  <c r="AA10" i="13"/>
  <c r="AA66" i="13"/>
  <c r="CD26" i="13"/>
  <c r="BO26" i="13"/>
  <c r="BM26" i="13"/>
  <c r="BB26" i="13"/>
  <c r="AF43" i="13"/>
  <c r="AF60" i="13"/>
  <c r="AP43" i="13"/>
  <c r="AP60" i="13"/>
  <c r="BF26" i="13"/>
  <c r="AH43" i="13"/>
  <c r="AH60" i="13"/>
  <c r="BM30" i="13"/>
  <c r="BI30" i="13"/>
  <c r="BS37" i="13"/>
  <c r="BB37" i="13"/>
  <c r="BF37" i="13"/>
  <c r="BU29" i="13"/>
  <c r="BI29" i="13"/>
  <c r="AS48" i="13"/>
  <c r="AS65" i="13"/>
  <c r="BK53" i="13"/>
  <c r="BK70" i="13"/>
  <c r="BV53" i="13"/>
  <c r="BV70" i="13"/>
  <c r="BP53" i="13"/>
  <c r="BP70" i="13"/>
  <c r="BI53" i="13"/>
  <c r="BI70" i="13"/>
  <c r="CB53" i="13"/>
  <c r="CB70" i="13"/>
  <c r="BT53" i="13"/>
  <c r="BT70" i="13"/>
  <c r="CE53" i="13"/>
  <c r="CE70" i="13"/>
  <c r="BC53" i="13"/>
  <c r="BC70" i="13"/>
  <c r="CC53" i="13"/>
  <c r="CC70" i="13"/>
  <c r="BL53" i="13"/>
  <c r="BL70" i="13"/>
  <c r="BG53" i="13"/>
  <c r="BG70" i="13"/>
  <c r="BN53" i="13"/>
  <c r="BN70" i="13"/>
  <c r="BS53" i="13"/>
  <c r="BS70" i="13"/>
  <c r="BH53" i="13"/>
  <c r="BH70" i="13"/>
  <c r="BX53" i="13"/>
  <c r="BX70" i="13"/>
  <c r="BJ53" i="13"/>
  <c r="BJ70" i="13"/>
  <c r="BW53" i="13"/>
  <c r="BW70" i="13"/>
  <c r="BF53" i="13"/>
  <c r="BF70" i="13"/>
  <c r="CD53" i="13"/>
  <c r="CD70" i="13"/>
  <c r="BZ53" i="13"/>
  <c r="BZ70" i="13"/>
  <c r="BM53" i="13"/>
  <c r="BM70" i="13"/>
  <c r="BE53" i="13"/>
  <c r="BE70" i="13"/>
  <c r="CA53" i="13"/>
  <c r="CA70" i="13"/>
  <c r="BR53" i="13"/>
  <c r="BR70" i="13"/>
  <c r="BA53" i="13"/>
  <c r="BA70" i="13"/>
  <c r="BY53" i="13"/>
  <c r="BY70" i="13"/>
  <c r="CG53" i="13"/>
  <c r="CG70" i="13"/>
  <c r="BQ53" i="13"/>
  <c r="BQ70" i="13"/>
  <c r="CF53" i="13"/>
  <c r="CF70" i="13"/>
  <c r="BO53" i="13"/>
  <c r="BO70" i="13"/>
  <c r="BU53" i="13"/>
  <c r="BB53" i="13"/>
  <c r="BB70" i="13"/>
  <c r="BD53" i="13"/>
  <c r="BD70" i="13"/>
  <c r="CF25" i="13"/>
  <c r="D3" i="13"/>
  <c r="BN25" i="13"/>
  <c r="BJ25" i="13"/>
  <c r="BY25" i="13"/>
  <c r="BA25" i="13"/>
  <c r="BT25" i="13"/>
  <c r="CD25" i="13"/>
  <c r="BV25" i="13"/>
  <c r="BD25" i="13"/>
  <c r="CE25" i="13"/>
  <c r="CA25" i="13"/>
  <c r="BR25" i="13"/>
  <c r="BF25" i="13"/>
  <c r="BB25" i="13"/>
  <c r="S42" i="13"/>
  <c r="CG25" i="13"/>
  <c r="BS25" i="13"/>
  <c r="U42" i="13"/>
  <c r="BO25" i="13"/>
  <c r="BI25" i="13"/>
  <c r="AF42" i="13"/>
  <c r="BG25" i="13"/>
  <c r="BU25" i="13"/>
  <c r="BQ25" i="13"/>
  <c r="BW25" i="13"/>
  <c r="BX25" i="13"/>
  <c r="BP25" i="13"/>
  <c r="CC25" i="13"/>
  <c r="BK25" i="13"/>
  <c r="BZ25" i="13"/>
  <c r="BH25" i="13"/>
  <c r="I94" i="9"/>
  <c r="R17" i="13"/>
  <c r="Z17" i="13"/>
  <c r="W17" i="13"/>
  <c r="H17" i="13"/>
  <c r="I17" i="13"/>
  <c r="T17" i="13"/>
  <c r="O17" i="13"/>
  <c r="AB17" i="13"/>
  <c r="V17" i="13"/>
  <c r="L17" i="13"/>
  <c r="J17" i="13"/>
  <c r="AD17" i="13"/>
  <c r="Q17" i="13"/>
  <c r="P17" i="13"/>
  <c r="K17" i="13"/>
  <c r="AA17" i="13"/>
  <c r="M17" i="13"/>
  <c r="Y17" i="13"/>
  <c r="X17" i="13"/>
  <c r="AC17" i="13"/>
  <c r="N17" i="13"/>
  <c r="F17" i="13"/>
  <c r="G17" i="13"/>
  <c r="S17" i="13"/>
  <c r="U17" i="13"/>
  <c r="BO13" i="13"/>
  <c r="AW13" i="13"/>
  <c r="BK13" i="13"/>
  <c r="BD13" i="13"/>
  <c r="AN13" i="13"/>
  <c r="AE13" i="13"/>
  <c r="BP13" i="13"/>
  <c r="BJ13" i="13"/>
  <c r="BE13" i="13"/>
  <c r="AL13" i="13"/>
  <c r="BM13" i="13"/>
  <c r="AU13" i="13"/>
  <c r="BN13" i="13"/>
  <c r="AT13" i="13"/>
  <c r="BR13" i="13"/>
  <c r="AQ13" i="13"/>
  <c r="AH13" i="13"/>
  <c r="AI13" i="13"/>
  <c r="AY13" i="13"/>
  <c r="BQ13" i="13"/>
  <c r="AZ13" i="13"/>
  <c r="AM13" i="13"/>
  <c r="AG13" i="13"/>
  <c r="BC13" i="13"/>
  <c r="AF13" i="13"/>
  <c r="BI13" i="13"/>
  <c r="AO13" i="13"/>
  <c r="BU13" i="13"/>
  <c r="AJ13" i="13"/>
  <c r="AP13" i="13"/>
  <c r="AS13" i="13"/>
  <c r="BG13" i="13"/>
  <c r="BF13" i="13"/>
  <c r="AK13" i="13"/>
  <c r="AR13" i="13"/>
  <c r="BL13" i="13"/>
  <c r="BT13" i="13"/>
  <c r="AV13" i="13"/>
  <c r="BS13" i="13"/>
  <c r="BB13" i="13"/>
  <c r="AX13" i="13"/>
  <c r="BA13" i="13"/>
  <c r="BH13" i="13"/>
  <c r="H12" i="13"/>
  <c r="H68" i="13"/>
  <c r="N12" i="13"/>
  <c r="N68" i="13"/>
  <c r="R12" i="13"/>
  <c r="R68" i="13"/>
  <c r="I12" i="13"/>
  <c r="I68" i="13"/>
  <c r="P12" i="13"/>
  <c r="P68" i="13"/>
  <c r="V12" i="13"/>
  <c r="AD12" i="13"/>
  <c r="L12" i="13"/>
  <c r="L68" i="13"/>
  <c r="U12" i="13"/>
  <c r="S12" i="13"/>
  <c r="O12" i="13"/>
  <c r="O68" i="13"/>
  <c r="AB12" i="13"/>
  <c r="G12" i="13"/>
  <c r="G68" i="13"/>
  <c r="AA12" i="13"/>
  <c r="K12" i="13"/>
  <c r="K68" i="13"/>
  <c r="Z12" i="13"/>
  <c r="AC12" i="13"/>
  <c r="Q12" i="13"/>
  <c r="Q68" i="13"/>
  <c r="J12" i="13"/>
  <c r="J68" i="13"/>
  <c r="M12" i="13"/>
  <c r="M68" i="13"/>
  <c r="F12" i="13"/>
  <c r="F68" i="13"/>
  <c r="CF51" i="13"/>
  <c r="CF68" i="13"/>
  <c r="BN51" i="13"/>
  <c r="BN68" i="13"/>
  <c r="BX51" i="13"/>
  <c r="BX68" i="13"/>
  <c r="BJ51" i="13"/>
  <c r="BJ68" i="13"/>
  <c r="BW51" i="13"/>
  <c r="BW68" i="13"/>
  <c r="BV51" i="13"/>
  <c r="BV68" i="13"/>
  <c r="BO51" i="13"/>
  <c r="BO68" i="13"/>
  <c r="BD51" i="13"/>
  <c r="BD68" i="13"/>
  <c r="BZ51" i="13"/>
  <c r="BZ68" i="13"/>
  <c r="BE51" i="13"/>
  <c r="BE68" i="13"/>
  <c r="BR51" i="13"/>
  <c r="BR68" i="13"/>
  <c r="CE51" i="13"/>
  <c r="CE68" i="13"/>
  <c r="BS51" i="13"/>
  <c r="BS68" i="13"/>
  <c r="BP51" i="13"/>
  <c r="BP68" i="13"/>
  <c r="BG51" i="13"/>
  <c r="BG68" i="13"/>
  <c r="BM51" i="13"/>
  <c r="BM68" i="13"/>
  <c r="BY51" i="13"/>
  <c r="BY68" i="13"/>
  <c r="CG51" i="13"/>
  <c r="CG68" i="13"/>
  <c r="BU51" i="13"/>
  <c r="BC51" i="13"/>
  <c r="BC68" i="13"/>
  <c r="BT51" i="13"/>
  <c r="BT68" i="13"/>
  <c r="CB51" i="13"/>
  <c r="CB68" i="13"/>
  <c r="BQ51" i="13"/>
  <c r="BQ68" i="13"/>
  <c r="CD51" i="13"/>
  <c r="CD68" i="13"/>
  <c r="BF51" i="13"/>
  <c r="BF68" i="13"/>
  <c r="CC51" i="13"/>
  <c r="CC68" i="13"/>
  <c r="BH51" i="13"/>
  <c r="BH68" i="13"/>
  <c r="BL51" i="13"/>
  <c r="BL68" i="13"/>
  <c r="BI51" i="13"/>
  <c r="BI68" i="13"/>
  <c r="BA51" i="13"/>
  <c r="BA68" i="13"/>
  <c r="CA51" i="13"/>
  <c r="CA68" i="13"/>
  <c r="BK51" i="13"/>
  <c r="BK68" i="13"/>
  <c r="BB51" i="13"/>
  <c r="BB68" i="13"/>
  <c r="N28" i="13"/>
  <c r="I28" i="13"/>
  <c r="R28" i="13"/>
  <c r="P28" i="13"/>
  <c r="L28" i="13"/>
  <c r="J28" i="13"/>
  <c r="F28" i="13"/>
  <c r="O28" i="13"/>
  <c r="M28" i="13"/>
  <c r="Q28" i="13"/>
  <c r="AM28" i="13"/>
  <c r="AG28" i="13"/>
  <c r="AN28" i="13"/>
  <c r="AO28" i="13"/>
  <c r="V28" i="13"/>
  <c r="AS28" i="13"/>
  <c r="AQ62" i="13"/>
  <c r="AP62" i="13"/>
  <c r="AU62" i="13"/>
  <c r="AW28" i="13"/>
  <c r="K28" i="13"/>
  <c r="U28" i="13"/>
  <c r="T28" i="13"/>
  <c r="AR28" i="13"/>
  <c r="Y28" i="13"/>
  <c r="AY28" i="13"/>
  <c r="AJ28" i="13"/>
  <c r="AV62" i="13"/>
  <c r="AP28" i="13"/>
  <c r="AH28" i="13"/>
  <c r="H28" i="13"/>
  <c r="Z28" i="13"/>
  <c r="AV28" i="13"/>
  <c r="AE28" i="13"/>
  <c r="AL62" i="13"/>
  <c r="G28" i="13"/>
  <c r="AI28" i="13"/>
  <c r="AF28" i="13"/>
  <c r="AC28" i="13"/>
  <c r="AT28" i="13"/>
  <c r="X28" i="13"/>
  <c r="AR62" i="13"/>
  <c r="AX28" i="13"/>
  <c r="Y6" i="13"/>
  <c r="Y62" i="13"/>
  <c r="AL28" i="13"/>
  <c r="AK28" i="13"/>
  <c r="AU28" i="13"/>
  <c r="AA28" i="13"/>
  <c r="AD28" i="13"/>
  <c r="S28" i="13"/>
  <c r="AQ28" i="13"/>
  <c r="AB28" i="13"/>
  <c r="W28" i="13"/>
  <c r="AJ62" i="13"/>
  <c r="AZ28" i="13"/>
  <c r="I70" i="12"/>
  <c r="I76" i="12"/>
  <c r="BI44" i="13"/>
  <c r="BI61" i="13"/>
  <c r="BR44" i="13"/>
  <c r="BR61" i="13"/>
  <c r="BB44" i="13"/>
  <c r="BB61" i="13"/>
  <c r="CA44" i="13"/>
  <c r="CA61" i="13"/>
  <c r="CE44" i="13"/>
  <c r="CE61" i="13"/>
  <c r="BA44" i="13"/>
  <c r="BA61" i="13"/>
  <c r="CG44" i="13"/>
  <c r="CG61" i="13"/>
  <c r="BM44" i="13"/>
  <c r="BM61" i="13"/>
  <c r="BX44" i="13"/>
  <c r="BX61" i="13"/>
  <c r="BN44" i="13"/>
  <c r="BN61" i="13"/>
  <c r="CF44" i="13"/>
  <c r="CF61" i="13"/>
  <c r="CC44" i="13"/>
  <c r="CC61" i="13"/>
  <c r="BT44" i="13"/>
  <c r="BT61" i="13"/>
  <c r="BD44" i="13"/>
  <c r="BD61" i="13"/>
  <c r="BO44" i="13"/>
  <c r="BO61" i="13"/>
  <c r="BW44" i="13"/>
  <c r="BW61" i="13"/>
  <c r="BZ44" i="13"/>
  <c r="BZ61" i="13"/>
  <c r="BG44" i="13"/>
  <c r="BG61" i="13"/>
  <c r="BJ44" i="13"/>
  <c r="BJ61" i="13"/>
  <c r="BV44" i="13"/>
  <c r="BV61" i="13"/>
  <c r="BF44" i="13"/>
  <c r="BF61" i="13"/>
  <c r="BP44" i="13"/>
  <c r="BP61" i="13"/>
  <c r="BU44" i="13"/>
  <c r="BQ44" i="13"/>
  <c r="BQ61" i="13"/>
  <c r="BY44" i="13"/>
  <c r="BY61" i="13"/>
  <c r="BH44" i="13"/>
  <c r="BH61" i="13"/>
  <c r="BS44" i="13"/>
  <c r="BS61" i="13"/>
  <c r="BK44" i="13"/>
  <c r="BK61" i="13"/>
  <c r="BC44" i="13"/>
  <c r="BC61" i="13"/>
  <c r="BE44" i="13"/>
  <c r="BE61" i="13"/>
  <c r="BL44" i="13"/>
  <c r="BL61" i="13"/>
  <c r="CD44" i="13"/>
  <c r="CD61" i="13"/>
  <c r="CB44" i="13"/>
  <c r="CB61" i="13"/>
  <c r="BZ50" i="13"/>
  <c r="BZ67" i="13"/>
  <c r="BB50" i="13"/>
  <c r="BB67" i="13"/>
  <c r="CG50" i="13"/>
  <c r="CG67" i="13"/>
  <c r="BF50" i="13"/>
  <c r="BF67" i="13"/>
  <c r="CE50" i="13"/>
  <c r="CE67" i="13"/>
  <c r="BA50" i="13"/>
  <c r="BA67" i="13"/>
  <c r="BQ50" i="13"/>
  <c r="BQ67" i="13"/>
  <c r="BV50" i="13"/>
  <c r="BV67" i="13"/>
  <c r="BP50" i="13"/>
  <c r="BP67" i="13"/>
  <c r="BL50" i="13"/>
  <c r="BL67" i="13"/>
  <c r="BI50" i="13"/>
  <c r="BI67" i="13"/>
  <c r="BM50" i="13"/>
  <c r="BM67" i="13"/>
  <c r="BY50" i="13"/>
  <c r="BY67" i="13"/>
  <c r="BN50" i="13"/>
  <c r="BN67" i="13"/>
  <c r="BG50" i="13"/>
  <c r="BG67" i="13"/>
  <c r="BU50" i="13"/>
  <c r="BR50" i="13"/>
  <c r="BR67" i="13"/>
  <c r="CA50" i="13"/>
  <c r="CA67" i="13"/>
  <c r="BT50" i="13"/>
  <c r="BT67" i="13"/>
  <c r="BJ50" i="13"/>
  <c r="BJ67" i="13"/>
  <c r="BO50" i="13"/>
  <c r="BO67" i="13"/>
  <c r="CB50" i="13"/>
  <c r="CB67" i="13"/>
  <c r="BD50" i="13"/>
  <c r="BD67" i="13"/>
  <c r="BE50" i="13"/>
  <c r="BE67" i="13"/>
  <c r="CF50" i="13"/>
  <c r="CF67" i="13"/>
  <c r="BC50" i="13"/>
  <c r="BC67" i="13"/>
  <c r="BW50" i="13"/>
  <c r="BW67" i="13"/>
  <c r="BK50" i="13"/>
  <c r="BK67" i="13"/>
  <c r="BH50" i="13"/>
  <c r="BH67" i="13"/>
  <c r="BS50" i="13"/>
  <c r="BS67" i="13"/>
  <c r="CC50" i="13"/>
  <c r="CC67" i="13"/>
  <c r="BX50" i="13"/>
  <c r="BX67" i="13"/>
  <c r="CD50" i="13"/>
  <c r="CD67" i="13"/>
  <c r="K36" i="13"/>
  <c r="N36" i="13"/>
  <c r="H36" i="13"/>
  <c r="P36" i="13"/>
  <c r="O36" i="13"/>
  <c r="Q36" i="13"/>
  <c r="I36" i="13"/>
  <c r="M36" i="13"/>
  <c r="R36" i="13"/>
  <c r="J36" i="13"/>
  <c r="G36" i="13"/>
  <c r="AS36" i="13"/>
  <c r="AN36" i="13"/>
  <c r="AY36" i="13"/>
  <c r="U36" i="13"/>
  <c r="AH36" i="13"/>
  <c r="X70" i="13"/>
  <c r="AO36" i="13"/>
  <c r="Y36" i="13"/>
  <c r="AV70" i="13"/>
  <c r="AP36" i="13"/>
  <c r="F36" i="13"/>
  <c r="AH70" i="13"/>
  <c r="X36" i="13"/>
  <c r="AL36" i="13"/>
  <c r="AK36" i="13"/>
  <c r="AD36" i="13"/>
  <c r="AX36" i="13"/>
  <c r="AA36" i="13"/>
  <c r="AG36" i="13"/>
  <c r="S36" i="13"/>
  <c r="T36" i="13"/>
  <c r="V36" i="13"/>
  <c r="AU36" i="13"/>
  <c r="AR36" i="13"/>
  <c r="AQ36" i="13"/>
  <c r="AJ36" i="13"/>
  <c r="AW36" i="13"/>
  <c r="AB36" i="13"/>
  <c r="AV36" i="13"/>
  <c r="AC36" i="13"/>
  <c r="AZ36" i="13"/>
  <c r="AF36" i="13"/>
  <c r="Z36" i="13"/>
  <c r="AI36" i="13"/>
  <c r="AF70" i="13"/>
  <c r="AT36" i="13"/>
  <c r="W36" i="13"/>
  <c r="AE36" i="13"/>
  <c r="L36" i="13"/>
  <c r="AM36" i="13"/>
  <c r="AM70" i="13"/>
  <c r="AD70" i="13"/>
  <c r="K10" i="13"/>
  <c r="K66" i="13"/>
  <c r="L10" i="13"/>
  <c r="L66" i="13"/>
  <c r="J10" i="13"/>
  <c r="J66" i="13"/>
  <c r="P10" i="13"/>
  <c r="P66" i="13"/>
  <c r="AD10" i="13"/>
  <c r="G10" i="13"/>
  <c r="G66" i="13"/>
  <c r="I10" i="13"/>
  <c r="I66" i="13"/>
  <c r="O10" i="13"/>
  <c r="O66" i="13"/>
  <c r="M10" i="13"/>
  <c r="M66" i="13"/>
  <c r="N10" i="13"/>
  <c r="N66" i="13"/>
  <c r="R10" i="13"/>
  <c r="R66" i="13"/>
  <c r="F10" i="13"/>
  <c r="F66" i="13"/>
  <c r="Q10" i="13"/>
  <c r="Q66" i="13"/>
  <c r="H10" i="13"/>
  <c r="H66" i="13"/>
  <c r="BX48" i="13"/>
  <c r="BX65" i="13"/>
  <c r="CU31" i="13"/>
  <c r="CM31" i="13"/>
  <c r="BA48" i="13"/>
  <c r="BA65" i="13"/>
  <c r="CC48" i="13"/>
  <c r="CC65" i="13"/>
  <c r="BT48" i="13"/>
  <c r="BT65" i="13"/>
  <c r="CD48" i="13"/>
  <c r="CD65" i="13"/>
  <c r="BJ48" i="13"/>
  <c r="BJ65" i="13"/>
  <c r="BQ48" i="13"/>
  <c r="BQ65" i="13"/>
  <c r="BI48" i="13"/>
  <c r="BI65" i="13"/>
  <c r="BZ48" i="13"/>
  <c r="BZ65" i="13"/>
  <c r="BK48" i="13"/>
  <c r="BK65" i="13"/>
  <c r="BV48" i="13"/>
  <c r="BV65" i="13"/>
  <c r="BG48" i="13"/>
  <c r="BG65" i="13"/>
  <c r="BF48" i="13"/>
  <c r="BF65" i="13"/>
  <c r="CE48" i="13"/>
  <c r="CE65" i="13"/>
  <c r="CO31" i="13"/>
  <c r="CA48" i="13"/>
  <c r="CA65" i="13"/>
  <c r="BM48" i="13"/>
  <c r="BM65" i="13"/>
  <c r="BD48" i="13"/>
  <c r="BD65" i="13"/>
  <c r="BW48" i="13"/>
  <c r="BW65" i="13"/>
  <c r="BL48" i="13"/>
  <c r="BL65" i="13"/>
  <c r="BY48" i="13"/>
  <c r="BY65" i="13"/>
  <c r="CK31" i="13"/>
  <c r="BR48" i="13"/>
  <c r="BR65" i="13"/>
  <c r="BN48" i="13"/>
  <c r="BN65" i="13"/>
  <c r="BS48" i="13"/>
  <c r="BS65" i="13"/>
  <c r="BP48" i="13"/>
  <c r="BP65" i="13"/>
  <c r="BB48" i="13"/>
  <c r="BB65" i="13"/>
  <c r="CB48" i="13"/>
  <c r="CB65" i="13"/>
  <c r="CF48" i="13"/>
  <c r="CF65" i="13"/>
  <c r="CW31" i="13"/>
  <c r="BO48" i="13"/>
  <c r="BO65" i="13"/>
  <c r="BC48" i="13"/>
  <c r="BC65" i="13"/>
  <c r="BH48" i="13"/>
  <c r="BH65" i="13"/>
  <c r="BE48" i="13"/>
  <c r="BE65" i="13"/>
  <c r="BU48" i="13"/>
  <c r="CG48" i="13"/>
  <c r="CG65" i="13"/>
  <c r="CM10" i="13"/>
  <c r="CD10" i="13"/>
  <c r="CQ10" i="13"/>
  <c r="CC10" i="13"/>
  <c r="CB10" i="13"/>
  <c r="CO10" i="13"/>
  <c r="CA10" i="13"/>
  <c r="CG10" i="13"/>
  <c r="CL10" i="13"/>
  <c r="CR10" i="13"/>
  <c r="CE10" i="13"/>
  <c r="BX10" i="13"/>
  <c r="CF10" i="13"/>
  <c r="CI10" i="13"/>
  <c r="BW10" i="13"/>
  <c r="BY10" i="13"/>
  <c r="CJ10" i="13"/>
  <c r="CN10" i="13"/>
  <c r="CH10" i="13"/>
  <c r="BV10" i="13"/>
  <c r="CP10" i="13"/>
  <c r="BZ10" i="13"/>
  <c r="CK10" i="13"/>
  <c r="W15" i="13"/>
  <c r="Q15" i="13"/>
  <c r="Q71" i="13"/>
  <c r="AD15" i="13"/>
  <c r="J15" i="13"/>
  <c r="J71" i="13"/>
  <c r="K15" i="13"/>
  <c r="K71" i="13"/>
  <c r="I15" i="13"/>
  <c r="I71" i="13"/>
  <c r="M15" i="13"/>
  <c r="M71" i="13"/>
  <c r="N15" i="13"/>
  <c r="N71" i="13"/>
  <c r="F15" i="13"/>
  <c r="F71" i="13"/>
  <c r="P15" i="13"/>
  <c r="P71" i="13"/>
  <c r="AC15" i="13"/>
  <c r="O15" i="13"/>
  <c r="O71" i="13"/>
  <c r="L15" i="13"/>
  <c r="L71" i="13"/>
  <c r="G15" i="13"/>
  <c r="G71" i="13"/>
  <c r="V15" i="13"/>
  <c r="S15" i="13"/>
  <c r="R15" i="13"/>
  <c r="R71" i="13"/>
  <c r="AA15" i="13"/>
  <c r="H15" i="13"/>
  <c r="H71" i="13"/>
  <c r="CI33" i="13"/>
  <c r="CM27" i="13"/>
  <c r="E8" i="13"/>
  <c r="CO30" i="13"/>
  <c r="T7" i="13"/>
  <c r="W7" i="13"/>
  <c r="P7" i="13"/>
  <c r="P63" i="13"/>
  <c r="O7" i="13"/>
  <c r="O63" i="13"/>
  <c r="U7" i="13"/>
  <c r="AD7" i="13"/>
  <c r="AC7" i="13"/>
  <c r="V7" i="13"/>
  <c r="L7" i="13"/>
  <c r="L63" i="13"/>
  <c r="N7" i="13"/>
  <c r="N63" i="13"/>
  <c r="F7" i="13"/>
  <c r="F63" i="13"/>
  <c r="Y7" i="13"/>
  <c r="R7" i="13"/>
  <c r="R63" i="13"/>
  <c r="Q7" i="13"/>
  <c r="Q63" i="13"/>
  <c r="AA7" i="13"/>
  <c r="AB7" i="13"/>
  <c r="Z7" i="13"/>
  <c r="X7" i="13"/>
  <c r="J7" i="13"/>
  <c r="J63" i="13"/>
  <c r="G7" i="13"/>
  <c r="G63" i="13"/>
  <c r="K7" i="13"/>
  <c r="K63" i="13"/>
  <c r="H7" i="13"/>
  <c r="H63" i="13"/>
  <c r="M7" i="13"/>
  <c r="M63" i="13"/>
  <c r="I7" i="13"/>
  <c r="I63" i="13"/>
  <c r="S7" i="13"/>
  <c r="BS36" i="13"/>
  <c r="BT36" i="13"/>
  <c r="BJ36" i="13"/>
  <c r="BN28" i="13"/>
  <c r="CG28" i="13"/>
  <c r="CD28" i="13"/>
  <c r="BR28" i="13"/>
  <c r="BB28" i="13"/>
  <c r="BG28" i="13"/>
  <c r="BK28" i="13"/>
  <c r="AI47" i="13"/>
  <c r="AI64" i="13"/>
  <c r="AE47" i="13"/>
  <c r="AE64" i="13"/>
  <c r="X47" i="13"/>
  <c r="X64" i="13"/>
  <c r="AW47" i="13"/>
  <c r="AW64" i="13"/>
  <c r="T47" i="13"/>
  <c r="T64" i="13"/>
  <c r="AL47" i="13"/>
  <c r="AL64" i="13"/>
  <c r="Z47" i="13"/>
  <c r="Z64" i="13"/>
  <c r="AM47" i="13"/>
  <c r="AM64" i="13"/>
  <c r="AD47" i="13"/>
  <c r="C113" i="13"/>
  <c r="AG51" i="13"/>
  <c r="AG68" i="13"/>
  <c r="U51" i="13"/>
  <c r="V51" i="13"/>
  <c r="V68" i="13"/>
  <c r="AC51" i="13"/>
  <c r="AC68" i="13"/>
  <c r="AQ51" i="13"/>
  <c r="AQ68" i="13"/>
  <c r="AW51" i="13"/>
  <c r="AW68" i="13"/>
  <c r="BH33" i="13"/>
  <c r="BN33" i="13"/>
  <c r="BS33" i="13"/>
  <c r="AS50" i="13"/>
  <c r="AS67" i="13"/>
  <c r="Y50" i="13"/>
  <c r="Y67" i="13"/>
  <c r="BF33" i="13"/>
  <c r="CC33" i="13"/>
  <c r="AN50" i="13"/>
  <c r="AN67" i="13"/>
  <c r="S50" i="13"/>
  <c r="T50" i="13"/>
  <c r="BK33" i="13"/>
  <c r="AK50" i="13"/>
  <c r="AK67" i="13"/>
  <c r="BV33" i="13"/>
  <c r="AP50" i="13"/>
  <c r="BL33" i="13"/>
  <c r="BX36" i="13"/>
  <c r="BP36" i="13"/>
  <c r="AO53" i="13"/>
  <c r="AO70" i="13"/>
  <c r="AZ53" i="13"/>
  <c r="AZ70" i="13"/>
  <c r="BU36" i="13"/>
  <c r="AX53" i="13"/>
  <c r="AX70" i="13"/>
  <c r="CG36" i="13"/>
  <c r="AJ53" i="13"/>
  <c r="AJ70" i="13"/>
  <c r="BM36" i="13"/>
  <c r="BA36" i="13"/>
  <c r="AI53" i="13"/>
  <c r="AI70" i="13"/>
  <c r="AY53" i="13"/>
  <c r="AY70" i="13"/>
  <c r="W53" i="13"/>
  <c r="W70" i="13"/>
  <c r="V53" i="13"/>
  <c r="V70" i="13"/>
  <c r="CA36" i="13"/>
  <c r="BK36" i="13"/>
  <c r="AE53" i="13"/>
  <c r="AE70" i="13"/>
  <c r="BI36" i="13"/>
  <c r="CF31" i="13"/>
  <c r="BO31" i="13"/>
  <c r="CE31" i="13"/>
  <c r="CD31" i="13"/>
  <c r="CB31" i="13"/>
  <c r="BN31" i="13"/>
  <c r="BT31" i="13"/>
  <c r="BP31" i="13"/>
  <c r="AF45" i="13"/>
  <c r="AF62" i="13"/>
  <c r="AK45" i="13"/>
  <c r="AK62" i="13"/>
  <c r="AM45" i="13"/>
  <c r="AM62" i="13"/>
  <c r="AY45" i="13"/>
  <c r="AY62" i="13"/>
  <c r="U45" i="13"/>
  <c r="U6" i="13"/>
  <c r="U62" i="13"/>
  <c r="BC28" i="13"/>
  <c r="CC28" i="13"/>
  <c r="W45" i="13"/>
  <c r="W6" i="13"/>
  <c r="W62" i="13"/>
  <c r="AI45" i="13"/>
  <c r="AI62" i="13"/>
  <c r="AW45" i="13"/>
  <c r="AW62" i="13"/>
  <c r="BJ28" i="13"/>
  <c r="S45" i="13"/>
  <c r="S6" i="13"/>
  <c r="S62" i="13"/>
  <c r="AA45" i="13"/>
  <c r="AA6" i="13"/>
  <c r="AA62" i="13"/>
  <c r="BQ28" i="13"/>
  <c r="CO28" i="13"/>
  <c r="BI45" i="13"/>
  <c r="BI62" i="13"/>
  <c r="CC45" i="13"/>
  <c r="CC62" i="13"/>
  <c r="BM45" i="13"/>
  <c r="BM62" i="13"/>
  <c r="BV45" i="13"/>
  <c r="BV62" i="13"/>
  <c r="BW45" i="13"/>
  <c r="BW62" i="13"/>
  <c r="BE45" i="13"/>
  <c r="BE62" i="13"/>
  <c r="BN45" i="13"/>
  <c r="BN62" i="13"/>
  <c r="BX45" i="13"/>
  <c r="BX62" i="13"/>
  <c r="BB45" i="13"/>
  <c r="BB62" i="13"/>
  <c r="BH45" i="13"/>
  <c r="BH62" i="13"/>
  <c r="BP45" i="13"/>
  <c r="BP62" i="13"/>
  <c r="BK45" i="13"/>
  <c r="BK62" i="13"/>
  <c r="BL45" i="13"/>
  <c r="BL62" i="13"/>
  <c r="BZ45" i="13"/>
  <c r="BZ62" i="13"/>
  <c r="BT45" i="13"/>
  <c r="BT62" i="13"/>
  <c r="CF45" i="13"/>
  <c r="CF62" i="13"/>
  <c r="BQ45" i="13"/>
  <c r="BQ62" i="13"/>
  <c r="CG45" i="13"/>
  <c r="CG62" i="13"/>
  <c r="CB45" i="13"/>
  <c r="CB62" i="13"/>
  <c r="CA45" i="13"/>
  <c r="CA62" i="13"/>
  <c r="CE45" i="13"/>
  <c r="CE62" i="13"/>
  <c r="BO45" i="13"/>
  <c r="BO62" i="13"/>
  <c r="BD45" i="13"/>
  <c r="BD62" i="13"/>
  <c r="BG45" i="13"/>
  <c r="BG62" i="13"/>
  <c r="BR45" i="13"/>
  <c r="BR62" i="13"/>
  <c r="BC45" i="13"/>
  <c r="BC62" i="13"/>
  <c r="BU45" i="13"/>
  <c r="BS45" i="13"/>
  <c r="BS62" i="13"/>
  <c r="BJ45" i="13"/>
  <c r="BJ62" i="13"/>
  <c r="BF45" i="13"/>
  <c r="BF62" i="13"/>
  <c r="BY45" i="13"/>
  <c r="BY62" i="13"/>
  <c r="CD45" i="13"/>
  <c r="CD62" i="13"/>
  <c r="BA45" i="13"/>
  <c r="BA62" i="13"/>
  <c r="AD30" i="13"/>
  <c r="J30" i="13"/>
  <c r="T30" i="13"/>
  <c r="AY30" i="13"/>
  <c r="AU30" i="13"/>
  <c r="X30" i="13"/>
  <c r="AR30" i="13"/>
  <c r="AJ30" i="13"/>
  <c r="L30" i="13"/>
  <c r="G30" i="13"/>
  <c r="AE30" i="13"/>
  <c r="V30" i="13"/>
  <c r="I30" i="13"/>
  <c r="Q30" i="13"/>
  <c r="AP30" i="13"/>
  <c r="AA30" i="13"/>
  <c r="N30" i="13"/>
  <c r="AH30" i="13"/>
  <c r="M30" i="13"/>
  <c r="H30" i="13"/>
  <c r="Y30" i="13"/>
  <c r="O30" i="13"/>
  <c r="AM30" i="13"/>
  <c r="W30" i="13"/>
  <c r="AG30" i="13"/>
  <c r="AS30" i="13"/>
  <c r="F30" i="13"/>
  <c r="AV30" i="13"/>
  <c r="AC30" i="13"/>
  <c r="U30" i="13"/>
  <c r="AN30" i="13"/>
  <c r="AL30" i="13"/>
  <c r="AZ30" i="13"/>
  <c r="AO30" i="13"/>
  <c r="AQ30" i="13"/>
  <c r="Z30" i="13"/>
  <c r="AB30" i="13"/>
  <c r="AT30" i="13"/>
  <c r="AK64" i="13"/>
  <c r="Y64" i="13"/>
  <c r="AI30" i="13"/>
  <c r="S30" i="13"/>
  <c r="P30" i="13"/>
  <c r="AF64" i="13"/>
  <c r="AH64" i="13"/>
  <c r="AP64" i="13"/>
  <c r="AK30" i="13"/>
  <c r="AF30" i="13"/>
  <c r="AO64" i="13"/>
  <c r="AB64" i="13"/>
  <c r="AJ64" i="13"/>
  <c r="R30" i="13"/>
  <c r="AX30" i="13"/>
  <c r="S64" i="13"/>
  <c r="AW30" i="13"/>
  <c r="AT64" i="13"/>
  <c r="K30" i="13"/>
  <c r="AV64" i="13"/>
  <c r="E12" i="13"/>
  <c r="CM34" i="13"/>
  <c r="CH37" i="13"/>
  <c r="AO3" i="13"/>
  <c r="AS3" i="13"/>
  <c r="AP3" i="13"/>
  <c r="AN3" i="13"/>
  <c r="AW3" i="13"/>
  <c r="BL3" i="13"/>
  <c r="BJ3" i="13"/>
  <c r="BP3" i="13"/>
  <c r="AX3" i="13"/>
  <c r="AM3" i="13"/>
  <c r="BA3" i="13"/>
  <c r="BN3" i="13"/>
  <c r="BF3" i="13"/>
  <c r="BH3" i="13"/>
  <c r="AU3" i="13"/>
  <c r="AR3" i="13"/>
  <c r="AL3" i="13"/>
  <c r="BK3" i="13"/>
  <c r="AQ3" i="13"/>
  <c r="AZ3" i="13"/>
  <c r="AG3" i="13"/>
  <c r="AT3" i="13"/>
  <c r="AV3" i="13"/>
  <c r="BD3" i="13"/>
  <c r="BT3" i="13"/>
  <c r="AK3" i="13"/>
  <c r="BE3" i="13"/>
  <c r="AY3" i="13"/>
  <c r="AF3" i="13"/>
  <c r="BM3" i="13"/>
  <c r="BI3" i="13"/>
  <c r="AH3" i="13"/>
  <c r="BU3" i="13"/>
  <c r="BB3" i="13"/>
  <c r="BQ3" i="13"/>
  <c r="BR3" i="13"/>
  <c r="BG3" i="13"/>
  <c r="BS3" i="13"/>
  <c r="AI3" i="13"/>
  <c r="BC3" i="13"/>
  <c r="BO3" i="13"/>
  <c r="AE3" i="13"/>
  <c r="AJ3" i="13"/>
  <c r="E40" i="13"/>
  <c r="R39" i="13"/>
  <c r="T39" i="13"/>
  <c r="AC39" i="13"/>
  <c r="S39" i="13"/>
  <c r="U39" i="13"/>
  <c r="O39" i="13"/>
  <c r="M39" i="13"/>
  <c r="V39" i="13"/>
  <c r="G39" i="13"/>
  <c r="K39" i="13"/>
  <c r="AB39" i="13"/>
  <c r="F39" i="13"/>
  <c r="X39" i="13"/>
  <c r="H39" i="13"/>
  <c r="Z39" i="13"/>
  <c r="N39" i="13"/>
  <c r="AD39" i="13"/>
  <c r="AA39" i="13"/>
  <c r="W39" i="13"/>
  <c r="J39" i="13"/>
  <c r="I39" i="13"/>
  <c r="Y39" i="13"/>
  <c r="Q39" i="13"/>
  <c r="L39" i="13"/>
  <c r="P39" i="13"/>
  <c r="AG52" i="13"/>
  <c r="AO52" i="13"/>
  <c r="AD52" i="13"/>
  <c r="C118" i="13"/>
  <c r="AW52" i="13"/>
  <c r="AU52" i="13"/>
  <c r="AZ52" i="13"/>
  <c r="AM52" i="13"/>
  <c r="AF52" i="13"/>
  <c r="AL52" i="13"/>
  <c r="AC52" i="13"/>
  <c r="Y52" i="13"/>
  <c r="S52" i="13"/>
  <c r="T52" i="13"/>
  <c r="AB52" i="13"/>
  <c r="AN52" i="13"/>
  <c r="W52" i="13"/>
  <c r="AY52" i="13"/>
  <c r="U52" i="13"/>
  <c r="AK52" i="13"/>
  <c r="X52" i="13"/>
  <c r="AR52" i="13"/>
  <c r="AX52" i="13"/>
  <c r="AA52" i="13"/>
  <c r="Z52" i="13"/>
  <c r="AI52" i="13"/>
  <c r="AS52" i="13"/>
  <c r="AT52" i="13"/>
  <c r="AE52" i="13"/>
  <c r="AV52" i="13"/>
  <c r="AP52" i="13"/>
  <c r="AQ52" i="13"/>
  <c r="AJ52" i="13"/>
  <c r="AH52" i="13"/>
  <c r="V52" i="13"/>
  <c r="J34" i="13"/>
  <c r="H34" i="13"/>
  <c r="K34" i="13"/>
  <c r="F34" i="13"/>
  <c r="N34" i="13"/>
  <c r="O34" i="13"/>
  <c r="L34" i="13"/>
  <c r="Q34" i="13"/>
  <c r="P34" i="13"/>
  <c r="G34" i="13"/>
  <c r="I34" i="13"/>
  <c r="M34" i="13"/>
  <c r="AT68" i="13"/>
  <c r="AK34" i="13"/>
  <c r="AM34" i="13"/>
  <c r="AN68" i="13"/>
  <c r="AP34" i="13"/>
  <c r="AE68" i="13"/>
  <c r="AJ34" i="13"/>
  <c r="U34" i="13"/>
  <c r="R34" i="13"/>
  <c r="W34" i="13"/>
  <c r="AQ34" i="13"/>
  <c r="AX34" i="13"/>
  <c r="AW34" i="13"/>
  <c r="AI68" i="13"/>
  <c r="AZ34" i="13"/>
  <c r="X34" i="13"/>
  <c r="AI34" i="13"/>
  <c r="T34" i="13"/>
  <c r="AF34" i="13"/>
  <c r="AR34" i="13"/>
  <c r="AU68" i="13"/>
  <c r="U68" i="13"/>
  <c r="AY68" i="13"/>
  <c r="AV34" i="13"/>
  <c r="AG34" i="13"/>
  <c r="AY34" i="13"/>
  <c r="AL34" i="13"/>
  <c r="Z34" i="13"/>
  <c r="AL68" i="13"/>
  <c r="AC34" i="13"/>
  <c r="AB34" i="13"/>
  <c r="AO34" i="13"/>
  <c r="Y34" i="13"/>
  <c r="AD34" i="13"/>
  <c r="AU34" i="13"/>
  <c r="S68" i="13"/>
  <c r="S34" i="13"/>
  <c r="AT34" i="13"/>
  <c r="AS34" i="13"/>
  <c r="AH34" i="13"/>
  <c r="AN34" i="13"/>
  <c r="AE34" i="13"/>
  <c r="V34" i="13"/>
  <c r="AA34" i="13"/>
  <c r="CO40" i="13"/>
  <c r="CN40" i="13"/>
  <c r="CE40" i="13"/>
  <c r="BV40" i="13"/>
  <c r="CJ40" i="13"/>
  <c r="CQ40" i="13"/>
  <c r="CK40" i="13"/>
  <c r="CC40" i="13"/>
  <c r="CB40" i="13"/>
  <c r="CR40" i="13"/>
  <c r="CD40" i="13"/>
  <c r="BY40" i="13"/>
  <c r="BW40" i="13"/>
  <c r="CH40" i="13"/>
  <c r="CF40" i="13"/>
  <c r="BZ40" i="13"/>
  <c r="CI40" i="13"/>
  <c r="CL40" i="13"/>
  <c r="CA40" i="13"/>
  <c r="CG40" i="13"/>
  <c r="BX40" i="13"/>
  <c r="CP40" i="13"/>
  <c r="CM40" i="13"/>
  <c r="CN12" i="13"/>
  <c r="CK12" i="13"/>
  <c r="CH12" i="13"/>
  <c r="CI12" i="13"/>
  <c r="CO12" i="13"/>
  <c r="CD12" i="13"/>
  <c r="CP12" i="13"/>
  <c r="BZ12" i="13"/>
  <c r="BW12" i="13"/>
  <c r="CM12" i="13"/>
  <c r="CJ12" i="13"/>
  <c r="BY12" i="13"/>
  <c r="CB12" i="13"/>
  <c r="BX12" i="13"/>
  <c r="CL12" i="13"/>
  <c r="CG12" i="13"/>
  <c r="CE12" i="13"/>
  <c r="CR12" i="13"/>
  <c r="CA12" i="13"/>
  <c r="CQ12" i="13"/>
  <c r="CC12" i="13"/>
  <c r="CF12" i="13"/>
  <c r="BV12" i="13"/>
  <c r="M6" i="13"/>
  <c r="M62" i="13"/>
  <c r="AD6" i="13"/>
  <c r="P6" i="13"/>
  <c r="P62" i="13"/>
  <c r="J6" i="13"/>
  <c r="J62" i="13"/>
  <c r="F6" i="13"/>
  <c r="F62" i="13"/>
  <c r="X6" i="13"/>
  <c r="H6" i="13"/>
  <c r="H62" i="13"/>
  <c r="G6" i="13"/>
  <c r="G62" i="13"/>
  <c r="N6" i="13"/>
  <c r="N62" i="13"/>
  <c r="L6" i="13"/>
  <c r="L62" i="13"/>
  <c r="T6" i="13"/>
  <c r="K6" i="13"/>
  <c r="K62" i="13"/>
  <c r="O6" i="13"/>
  <c r="O62" i="13"/>
  <c r="I6" i="13"/>
  <c r="I62" i="13"/>
  <c r="Q6" i="13"/>
  <c r="Q62" i="13"/>
  <c r="R6" i="13"/>
  <c r="R62" i="13"/>
  <c r="AC6" i="13"/>
  <c r="C38" i="13"/>
  <c r="C16" i="13"/>
  <c r="D13" i="13"/>
  <c r="CF35" i="13"/>
  <c r="CP8" i="13"/>
  <c r="CM8" i="13"/>
  <c r="BW8" i="13"/>
  <c r="CI8" i="13"/>
  <c r="CR8" i="13"/>
  <c r="CG8" i="13"/>
  <c r="CF8" i="13"/>
  <c r="BY8" i="13"/>
  <c r="BZ8" i="13"/>
  <c r="CA8" i="13"/>
  <c r="CO8" i="13"/>
  <c r="BX8" i="13"/>
  <c r="CN8" i="13"/>
  <c r="CK8" i="13"/>
  <c r="CQ8" i="13"/>
  <c r="CE8" i="13"/>
  <c r="CL8" i="13"/>
  <c r="CC8" i="13"/>
  <c r="CD8" i="13"/>
  <c r="BV8" i="13"/>
  <c r="CB8" i="13"/>
  <c r="CJ8" i="13"/>
  <c r="CH8" i="13"/>
  <c r="F27" i="13"/>
  <c r="O27" i="13"/>
  <c r="Q27" i="13"/>
  <c r="G27" i="13"/>
  <c r="I27" i="13"/>
  <c r="J27" i="13"/>
  <c r="K27" i="13"/>
  <c r="N27" i="13"/>
  <c r="M27" i="13"/>
  <c r="P27" i="13"/>
  <c r="AM27" i="13"/>
  <c r="Y27" i="13"/>
  <c r="AI61" i="13"/>
  <c r="AR27" i="13"/>
  <c r="Z27" i="13"/>
  <c r="AI27" i="13"/>
  <c r="AP27" i="13"/>
  <c r="AV27" i="13"/>
  <c r="W27" i="13"/>
  <c r="AZ27" i="13"/>
  <c r="AE27" i="13"/>
  <c r="AT27" i="13"/>
  <c r="AJ61" i="13"/>
  <c r="R27" i="13"/>
  <c r="AG27" i="13"/>
  <c r="AJ27" i="13"/>
  <c r="AO27" i="13"/>
  <c r="AA27" i="13"/>
  <c r="AH61" i="13"/>
  <c r="AT61" i="13"/>
  <c r="X61" i="13"/>
  <c r="V27" i="13"/>
  <c r="S27" i="13"/>
  <c r="AY61" i="13"/>
  <c r="Z61" i="13"/>
  <c r="S61" i="13"/>
  <c r="AL27" i="13"/>
  <c r="AD27" i="13"/>
  <c r="AN61" i="13"/>
  <c r="AQ61" i="13"/>
  <c r="AC61" i="13"/>
  <c r="AC27" i="13"/>
  <c r="AW27" i="13"/>
  <c r="T27" i="13"/>
  <c r="W61" i="13"/>
  <c r="AS61" i="13"/>
  <c r="AR61" i="13"/>
  <c r="AP61" i="13"/>
  <c r="AA61" i="13"/>
  <c r="U61" i="13"/>
  <c r="AH27" i="13"/>
  <c r="V61" i="13"/>
  <c r="AE61" i="13"/>
  <c r="AQ27" i="13"/>
  <c r="Y61" i="13"/>
  <c r="AX61" i="13"/>
  <c r="AM61" i="13"/>
  <c r="AZ61" i="13"/>
  <c r="U27" i="13"/>
  <c r="AK27" i="13"/>
  <c r="AU27" i="13"/>
  <c r="AS27" i="13"/>
  <c r="AG61" i="13"/>
  <c r="L27" i="13"/>
  <c r="AF27" i="13"/>
  <c r="AX27" i="13"/>
  <c r="H27" i="13"/>
  <c r="AB61" i="13"/>
  <c r="AU61" i="13"/>
  <c r="AL61" i="13"/>
  <c r="AK61" i="13"/>
  <c r="AW61" i="13"/>
  <c r="AY27" i="13"/>
  <c r="AO61" i="13"/>
  <c r="AD61" i="13"/>
  <c r="AN27" i="13"/>
  <c r="T61" i="13"/>
  <c r="AB27" i="13"/>
  <c r="AF61" i="13"/>
  <c r="X27" i="13"/>
  <c r="AV61" i="13"/>
  <c r="F33" i="13"/>
  <c r="J33" i="13"/>
  <c r="P33" i="13"/>
  <c r="M33" i="13"/>
  <c r="Q33" i="13"/>
  <c r="N33" i="13"/>
  <c r="O33" i="13"/>
  <c r="G33" i="13"/>
  <c r="R33" i="13"/>
  <c r="L33" i="13"/>
  <c r="I33" i="13"/>
  <c r="H33" i="13"/>
  <c r="AT33" i="13"/>
  <c r="AW33" i="13"/>
  <c r="AL33" i="13"/>
  <c r="AG67" i="13"/>
  <c r="AA33" i="13"/>
  <c r="AK33" i="13"/>
  <c r="AF33" i="13"/>
  <c r="AR33" i="13"/>
  <c r="AR67" i="13"/>
  <c r="K33" i="13"/>
  <c r="AL67" i="13"/>
  <c r="AY67" i="13"/>
  <c r="AC67" i="13"/>
  <c r="AP67" i="13"/>
  <c r="AZ33" i="13"/>
  <c r="AD33" i="13"/>
  <c r="AG33" i="13"/>
  <c r="AY33" i="13"/>
  <c r="T33" i="13"/>
  <c r="S33" i="13"/>
  <c r="AM33" i="13"/>
  <c r="U67" i="13"/>
  <c r="AW67" i="13"/>
  <c r="AB33" i="13"/>
  <c r="AI33" i="13"/>
  <c r="Z33" i="13"/>
  <c r="AN33" i="13"/>
  <c r="AP33" i="13"/>
  <c r="S67" i="13"/>
  <c r="V67" i="13"/>
  <c r="U33" i="13"/>
  <c r="AJ33" i="13"/>
  <c r="AE33" i="13"/>
  <c r="AX33" i="13"/>
  <c r="AS33" i="13"/>
  <c r="AA67" i="13"/>
  <c r="V33" i="13"/>
  <c r="T67" i="13"/>
  <c r="Y33" i="13"/>
  <c r="AU67" i="13"/>
  <c r="AU33" i="13"/>
  <c r="AV33" i="13"/>
  <c r="AQ33" i="13"/>
  <c r="AH33" i="13"/>
  <c r="AC33" i="13"/>
  <c r="AO33" i="13"/>
  <c r="AO67" i="13"/>
  <c r="W33" i="13"/>
  <c r="X33" i="13"/>
  <c r="CC9" i="13"/>
  <c r="CI9" i="13"/>
  <c r="BV9" i="13"/>
  <c r="CB9" i="13"/>
  <c r="CP9" i="13"/>
  <c r="CN9" i="13"/>
  <c r="CF9" i="13"/>
  <c r="CG9" i="13"/>
  <c r="CQ9" i="13"/>
  <c r="CK9" i="13"/>
  <c r="BW9" i="13"/>
  <c r="BX9" i="13"/>
  <c r="BZ9" i="13"/>
  <c r="CR9" i="13"/>
  <c r="CO9" i="13"/>
  <c r="CL9" i="13"/>
  <c r="CJ9" i="13"/>
  <c r="CM9" i="13"/>
  <c r="BY9" i="13"/>
  <c r="CA9" i="13"/>
  <c r="CH9" i="13"/>
  <c r="CD9" i="13"/>
  <c r="CE9" i="13"/>
  <c r="BY49" i="13"/>
  <c r="BY66" i="13"/>
  <c r="BC49" i="13"/>
  <c r="BC66" i="13"/>
  <c r="CB49" i="13"/>
  <c r="CB66" i="13"/>
  <c r="BH49" i="13"/>
  <c r="BH66" i="13"/>
  <c r="BU49" i="13"/>
  <c r="BA49" i="13"/>
  <c r="BA66" i="13"/>
  <c r="BI49" i="13"/>
  <c r="BI66" i="13"/>
  <c r="BX49" i="13"/>
  <c r="BX66" i="13"/>
  <c r="BG49" i="13"/>
  <c r="BG66" i="13"/>
  <c r="BQ49" i="13"/>
  <c r="BQ66" i="13"/>
  <c r="BN49" i="13"/>
  <c r="BN66" i="13"/>
  <c r="BF49" i="13"/>
  <c r="BF66" i="13"/>
  <c r="CU32" i="13"/>
  <c r="CG49" i="13"/>
  <c r="CG66" i="13"/>
  <c r="BW49" i="13"/>
  <c r="BW66" i="13"/>
  <c r="BK49" i="13"/>
  <c r="BK66" i="13"/>
  <c r="CD49" i="13"/>
  <c r="CD66" i="13"/>
  <c r="CN32" i="13"/>
  <c r="BD49" i="13"/>
  <c r="BD66" i="13"/>
  <c r="CF49" i="13"/>
  <c r="CF66" i="13"/>
  <c r="CH32" i="13"/>
  <c r="BL49" i="13"/>
  <c r="BL66" i="13"/>
  <c r="BT49" i="13"/>
  <c r="BT66" i="13"/>
  <c r="BP49" i="13"/>
  <c r="BP66" i="13"/>
  <c r="CS32" i="13"/>
  <c r="BR49" i="13"/>
  <c r="BR66" i="13"/>
  <c r="CL32" i="13"/>
  <c r="CA49" i="13"/>
  <c r="CA66" i="13"/>
  <c r="CE49" i="13"/>
  <c r="CE66" i="13"/>
  <c r="BO49" i="13"/>
  <c r="BO66" i="13"/>
  <c r="BZ49" i="13"/>
  <c r="BZ66" i="13"/>
  <c r="CC49" i="13"/>
  <c r="CC66" i="13"/>
  <c r="BV49" i="13"/>
  <c r="BV66" i="13"/>
  <c r="BJ49" i="13"/>
  <c r="BJ66" i="13"/>
  <c r="CI32" i="13"/>
  <c r="BM49" i="13"/>
  <c r="BM66" i="13"/>
  <c r="BS49" i="13"/>
  <c r="BS66" i="13"/>
  <c r="BB49" i="13"/>
  <c r="BB66" i="13"/>
  <c r="BE49" i="13"/>
  <c r="BE66" i="13"/>
  <c r="M37" i="13"/>
  <c r="J37" i="13"/>
  <c r="K37" i="13"/>
  <c r="G37" i="13"/>
  <c r="F37" i="13"/>
  <c r="L37" i="13"/>
  <c r="O37" i="13"/>
  <c r="Q37" i="13"/>
  <c r="I37" i="13"/>
  <c r="P37" i="13"/>
  <c r="N37" i="13"/>
  <c r="AI37" i="13"/>
  <c r="AL71" i="13"/>
  <c r="S37" i="13"/>
  <c r="AE71" i="13"/>
  <c r="AV37" i="13"/>
  <c r="V71" i="13"/>
  <c r="AZ71" i="13"/>
  <c r="AK71" i="13"/>
  <c r="AG37" i="13"/>
  <c r="U37" i="13"/>
  <c r="AS37" i="13"/>
  <c r="AP37" i="13"/>
  <c r="H37" i="13"/>
  <c r="AI71" i="13"/>
  <c r="AV71" i="13"/>
  <c r="AW37" i="13"/>
  <c r="W37" i="13"/>
  <c r="AT37" i="13"/>
  <c r="AB37" i="13"/>
  <c r="AJ37" i="13"/>
  <c r="AQ37" i="13"/>
  <c r="AE37" i="13"/>
  <c r="W71" i="13"/>
  <c r="AC71" i="13"/>
  <c r="AA71" i="13"/>
  <c r="T37" i="13"/>
  <c r="AF37" i="13"/>
  <c r="AJ71" i="13"/>
  <c r="AK37" i="13"/>
  <c r="AX37" i="13"/>
  <c r="AH37" i="13"/>
  <c r="S71" i="13"/>
  <c r="AM37" i="13"/>
  <c r="AM71" i="13"/>
  <c r="AL37" i="13"/>
  <c r="AR71" i="13"/>
  <c r="AP71" i="13"/>
  <c r="X37" i="13"/>
  <c r="AD37" i="13"/>
  <c r="V37" i="13"/>
  <c r="AY37" i="13"/>
  <c r="AD71" i="13"/>
  <c r="AZ37" i="13"/>
  <c r="AF71" i="13"/>
  <c r="AC37" i="13"/>
  <c r="AU37" i="13"/>
  <c r="R37" i="13"/>
  <c r="Z37" i="13"/>
  <c r="Y37" i="13"/>
  <c r="AR37" i="13"/>
  <c r="AN37" i="13"/>
  <c r="AA37" i="13"/>
  <c r="AO37" i="13"/>
  <c r="AS71" i="13"/>
  <c r="CI36" i="13"/>
  <c r="I29" i="13"/>
  <c r="AS29" i="13"/>
  <c r="S29" i="13"/>
  <c r="Z29" i="13"/>
  <c r="R29" i="13"/>
  <c r="J29" i="13"/>
  <c r="AD29" i="13"/>
  <c r="AG29" i="13"/>
  <c r="Q29" i="13"/>
  <c r="G29" i="13"/>
  <c r="AC29" i="13"/>
  <c r="AU29" i="13"/>
  <c r="AM29" i="13"/>
  <c r="AB29" i="13"/>
  <c r="AN29" i="13"/>
  <c r="AT29" i="13"/>
  <c r="AI29" i="13"/>
  <c r="AA29" i="13"/>
  <c r="AQ29" i="13"/>
  <c r="O29" i="13"/>
  <c r="AP29" i="13"/>
  <c r="F29" i="13"/>
  <c r="N29" i="13"/>
  <c r="AK29" i="13"/>
  <c r="T29" i="13"/>
  <c r="AZ29" i="13"/>
  <c r="AE29" i="13"/>
  <c r="P29" i="13"/>
  <c r="AW29" i="13"/>
  <c r="AU63" i="13"/>
  <c r="AF63" i="13"/>
  <c r="AC63" i="13"/>
  <c r="AN63" i="13"/>
  <c r="S63" i="13"/>
  <c r="AY63" i="13"/>
  <c r="AL63" i="13"/>
  <c r="AZ63" i="13"/>
  <c r="AO63" i="13"/>
  <c r="AY29" i="13"/>
  <c r="AF29" i="13"/>
  <c r="K29" i="13"/>
  <c r="H29" i="13"/>
  <c r="AV29" i="13"/>
  <c r="AH29" i="13"/>
  <c r="T63" i="13"/>
  <c r="AK63" i="13"/>
  <c r="AP63" i="13"/>
  <c r="AV63" i="13"/>
  <c r="AM63" i="13"/>
  <c r="W63" i="13"/>
  <c r="Z63" i="13"/>
  <c r="AE63" i="13"/>
  <c r="AJ29" i="13"/>
  <c r="AL29" i="13"/>
  <c r="AX29" i="13"/>
  <c r="AX63" i="13"/>
  <c r="AR63" i="13"/>
  <c r="X63" i="13"/>
  <c r="AB63" i="13"/>
  <c r="V29" i="13"/>
  <c r="AR29" i="13"/>
  <c r="Y29" i="13"/>
  <c r="AG63" i="13"/>
  <c r="AW63" i="13"/>
  <c r="AA63" i="13"/>
  <c r="AT63" i="13"/>
  <c r="AD63" i="13"/>
  <c r="M29" i="13"/>
  <c r="AH63" i="13"/>
  <c r="AI63" i="13"/>
  <c r="Y63" i="13"/>
  <c r="U29" i="13"/>
  <c r="V63" i="13"/>
  <c r="L29" i="13"/>
  <c r="AO29" i="13"/>
  <c r="X29" i="13"/>
  <c r="AJ63" i="13"/>
  <c r="U63" i="13"/>
  <c r="W29" i="13"/>
  <c r="AS63" i="13"/>
  <c r="AQ63" i="13"/>
  <c r="BQ36" i="13"/>
  <c r="CF36" i="13"/>
  <c r="BD36" i="13"/>
  <c r="AQ47" i="13"/>
  <c r="AQ64" i="13"/>
  <c r="AG47" i="13"/>
  <c r="AG64" i="13"/>
  <c r="AX47" i="13"/>
  <c r="AX64" i="13"/>
  <c r="AU47" i="13"/>
  <c r="AU64" i="13"/>
  <c r="AY47" i="13"/>
  <c r="AY64" i="13"/>
  <c r="AN47" i="13"/>
  <c r="AN64" i="13"/>
  <c r="AC47" i="13"/>
  <c r="AC64" i="13"/>
  <c r="AZ47" i="13"/>
  <c r="AZ64" i="13"/>
  <c r="V47" i="13"/>
  <c r="V64" i="13"/>
  <c r="AR47" i="13"/>
  <c r="AR64" i="13"/>
  <c r="AS51" i="13"/>
  <c r="AS68" i="13"/>
  <c r="AV51" i="13"/>
  <c r="AV68" i="13"/>
  <c r="AM51" i="13"/>
  <c r="AM68" i="13"/>
  <c r="AA51" i="13"/>
  <c r="AA68" i="13"/>
  <c r="AF51" i="13"/>
  <c r="AF68" i="13"/>
  <c r="AB51" i="13"/>
  <c r="AB68" i="13"/>
  <c r="AR51" i="13"/>
  <c r="AR68" i="13"/>
  <c r="Z51" i="13"/>
  <c r="Z68" i="13"/>
  <c r="AP51" i="13"/>
  <c r="AP68" i="13"/>
  <c r="AD51" i="13"/>
  <c r="C117" i="13"/>
  <c r="AH51" i="13"/>
  <c r="AH68" i="13"/>
  <c r="AZ51" i="13"/>
  <c r="AZ68" i="13"/>
  <c r="AB50" i="13"/>
  <c r="AB67" i="13"/>
  <c r="CA33" i="13"/>
  <c r="W50" i="13"/>
  <c r="W67" i="13"/>
  <c r="BW33" i="13"/>
  <c r="BQ33" i="13"/>
  <c r="AF50" i="13"/>
  <c r="AF67" i="13"/>
  <c r="AX50" i="13"/>
  <c r="AX67" i="13"/>
  <c r="CF33" i="13"/>
  <c r="BY33" i="13"/>
  <c r="BU33" i="13"/>
  <c r="Z50" i="13"/>
  <c r="Z67" i="13"/>
  <c r="CB33" i="13"/>
  <c r="BZ33" i="13"/>
  <c r="AQ50" i="13"/>
  <c r="AQ67" i="13"/>
  <c r="AD50" i="13"/>
  <c r="C116" i="13"/>
  <c r="BD33" i="13"/>
  <c r="AI50" i="13"/>
  <c r="AI67" i="13"/>
  <c r="AQ53" i="13"/>
  <c r="AQ70" i="13"/>
  <c r="BN36" i="13"/>
  <c r="CB36" i="13"/>
  <c r="BZ36" i="13"/>
  <c r="BO36" i="13"/>
  <c r="AG53" i="13"/>
  <c r="AG70" i="13"/>
  <c r="CC36" i="13"/>
  <c r="AN53" i="13"/>
  <c r="AN70" i="13"/>
  <c r="U53" i="13"/>
  <c r="U70" i="13"/>
  <c r="Y53" i="13"/>
  <c r="Y70" i="13"/>
  <c r="BH36" i="13"/>
  <c r="BF36" i="13"/>
  <c r="T53" i="13"/>
  <c r="T70" i="13"/>
  <c r="BB36" i="13"/>
  <c r="BL36" i="13"/>
  <c r="BW36" i="13"/>
  <c r="BK31" i="13"/>
  <c r="BE31" i="13"/>
  <c r="BR31" i="13"/>
  <c r="BS31" i="13"/>
  <c r="CG31" i="13"/>
  <c r="BL31" i="13"/>
  <c r="CA31" i="13"/>
  <c r="CC31" i="13"/>
  <c r="X45" i="13"/>
  <c r="X62" i="13"/>
  <c r="BY28" i="13"/>
  <c r="AO45" i="13"/>
  <c r="AO62" i="13"/>
  <c r="T45" i="13"/>
  <c r="T62" i="13"/>
  <c r="BS28" i="13"/>
  <c r="CF28" i="13"/>
  <c r="AE45" i="13"/>
  <c r="AE62" i="13"/>
  <c r="CE28" i="13"/>
  <c r="BE28" i="13"/>
  <c r="BA28" i="13"/>
  <c r="BW28" i="13"/>
  <c r="BU28" i="13"/>
  <c r="BP28" i="13"/>
  <c r="AC45" i="13"/>
  <c r="AC62" i="13"/>
  <c r="CA28" i="13"/>
  <c r="L31" i="1"/>
  <c r="I74" i="7"/>
  <c r="L73" i="1"/>
  <c r="L76" i="1"/>
  <c r="L74" i="7"/>
  <c r="L75" i="7"/>
  <c r="L70" i="7"/>
  <c r="CV28" i="13"/>
  <c r="CT28" i="13"/>
  <c r="V42" i="13"/>
  <c r="AK42" i="13"/>
  <c r="CU28" i="13"/>
  <c r="CM28" i="13"/>
  <c r="CL28" i="13"/>
  <c r="CJ28" i="13"/>
  <c r="AD62" i="13"/>
  <c r="AX42" i="13"/>
  <c r="AX59" i="13"/>
  <c r="AI42" i="13"/>
  <c r="AI59" i="13"/>
  <c r="AN42" i="13"/>
  <c r="BM25" i="13"/>
  <c r="BE25" i="13"/>
  <c r="CB25" i="13"/>
  <c r="AH42" i="13"/>
  <c r="AE42" i="13"/>
  <c r="AD42" i="13"/>
  <c r="C108" i="13"/>
  <c r="CS28" i="13"/>
  <c r="CR28" i="13"/>
  <c r="AZ42" i="13"/>
  <c r="AZ59" i="13"/>
  <c r="Y42" i="13"/>
  <c r="Y3" i="13"/>
  <c r="Y59" i="13"/>
  <c r="AO42" i="13"/>
  <c r="Z42" i="13"/>
  <c r="AL42" i="13"/>
  <c r="AL59" i="13"/>
  <c r="AJ42" i="13"/>
  <c r="AJ59" i="13"/>
  <c r="CU27" i="13"/>
  <c r="CP27" i="13"/>
  <c r="CK32" i="13"/>
  <c r="BM35" i="13"/>
  <c r="BM38" i="13"/>
  <c r="AD64" i="13"/>
  <c r="CJ31" i="13"/>
  <c r="CV31" i="13"/>
  <c r="CR31" i="13"/>
  <c r="CS27" i="13"/>
  <c r="CH27" i="13"/>
  <c r="CO32" i="13"/>
  <c r="CP31" i="13"/>
  <c r="CQ34" i="13"/>
  <c r="CR36" i="13"/>
  <c r="BB35" i="13"/>
  <c r="BB38" i="13"/>
  <c r="CW34" i="13"/>
  <c r="CW36" i="13"/>
  <c r="CQ37" i="13"/>
  <c r="BF35" i="13"/>
  <c r="BF38" i="13"/>
  <c r="BC35" i="13"/>
  <c r="CN28" i="13"/>
  <c r="CK28" i="13"/>
  <c r="CM33" i="13"/>
  <c r="CL27" i="13"/>
  <c r="CO27" i="13"/>
  <c r="CW27" i="13"/>
  <c r="CJ27" i="13"/>
  <c r="CI27" i="13"/>
  <c r="CL34" i="13"/>
  <c r="CP34" i="13"/>
  <c r="AC42" i="13"/>
  <c r="AC3" i="13"/>
  <c r="AC59" i="13"/>
  <c r="AG42" i="13"/>
  <c r="AG59" i="13"/>
  <c r="AP42" i="13"/>
  <c r="AP59" i="13"/>
  <c r="W42" i="13"/>
  <c r="W3" i="13"/>
  <c r="W59" i="13"/>
  <c r="AR42" i="13"/>
  <c r="AR59" i="13"/>
  <c r="T42" i="13"/>
  <c r="AB42" i="13"/>
  <c r="AB3" i="13"/>
  <c r="AB59" i="13"/>
  <c r="AQ42" i="13"/>
  <c r="AQ59" i="13"/>
  <c r="AA42" i="13"/>
  <c r="AA3" i="13"/>
  <c r="AA59" i="13"/>
  <c r="AY42" i="13"/>
  <c r="CT36" i="13"/>
  <c r="CU36" i="13"/>
  <c r="CP36" i="13"/>
  <c r="CO36" i="13"/>
  <c r="CJ36" i="13"/>
  <c r="CM36" i="13"/>
  <c r="CT30" i="13"/>
  <c r="CP37" i="13"/>
  <c r="CN33" i="13"/>
  <c r="CK33" i="13"/>
  <c r="CI34" i="13"/>
  <c r="CL36" i="13"/>
  <c r="CN36" i="13"/>
  <c r="CW37" i="13"/>
  <c r="CQ33" i="13"/>
  <c r="CT33" i="13"/>
  <c r="CP33" i="13"/>
  <c r="CJ37" i="13"/>
  <c r="CG35" i="13"/>
  <c r="BY35" i="13"/>
  <c r="CD35" i="13"/>
  <c r="CD38" i="13"/>
  <c r="CW28" i="13"/>
  <c r="CI28" i="13"/>
  <c r="CQ28" i="13"/>
  <c r="CH28" i="13"/>
  <c r="CT27" i="13"/>
  <c r="CK34" i="13"/>
  <c r="CS34" i="13"/>
  <c r="X42" i="13"/>
  <c r="X3" i="13"/>
  <c r="X59" i="13"/>
  <c r="AT42" i="13"/>
  <c r="AM42" i="13"/>
  <c r="AS42" i="13"/>
  <c r="AS59" i="13"/>
  <c r="AW42" i="13"/>
  <c r="AW59" i="13"/>
  <c r="AV42" i="13"/>
  <c r="CH36" i="13"/>
  <c r="CS36" i="13"/>
  <c r="AD60" i="13"/>
  <c r="AD65" i="13"/>
  <c r="CS37" i="13"/>
  <c r="CX29" i="13"/>
  <c r="CY29" i="13"/>
  <c r="CX63" i="13"/>
  <c r="CY63" i="13"/>
  <c r="CZ29" i="13"/>
  <c r="CZ63" i="13"/>
  <c r="DA63" i="13"/>
  <c r="CT46" i="13"/>
  <c r="CT63" i="13"/>
  <c r="CH46" i="13"/>
  <c r="CH63" i="13"/>
  <c r="CS46" i="13"/>
  <c r="CS63" i="13"/>
  <c r="CM46" i="13"/>
  <c r="CM63" i="13"/>
  <c r="CL46" i="13"/>
  <c r="CL63" i="13"/>
  <c r="CO46" i="13"/>
  <c r="CO63" i="13"/>
  <c r="CP46" i="13"/>
  <c r="CP63" i="13"/>
  <c r="CI46" i="13"/>
  <c r="CI63" i="13"/>
  <c r="CR46" i="13"/>
  <c r="CK46" i="13"/>
  <c r="CK63" i="13"/>
  <c r="CQ46" i="13"/>
  <c r="CQ63" i="13"/>
  <c r="CU46" i="13"/>
  <c r="CU63" i="13"/>
  <c r="CN46" i="13"/>
  <c r="CN63" i="13"/>
  <c r="CJ46" i="13"/>
  <c r="CJ63" i="13"/>
  <c r="DA29" i="13"/>
  <c r="CW46" i="13"/>
  <c r="CW63" i="13"/>
  <c r="CV46" i="13"/>
  <c r="CV63" i="13"/>
  <c r="CI13" i="13"/>
  <c r="CN13" i="13"/>
  <c r="BW13" i="13"/>
  <c r="CM13" i="13"/>
  <c r="CA13" i="13"/>
  <c r="CB13" i="13"/>
  <c r="CG13" i="13"/>
  <c r="CH13" i="13"/>
  <c r="CE13" i="13"/>
  <c r="BV13" i="13"/>
  <c r="BX13" i="13"/>
  <c r="CD13" i="13"/>
  <c r="CP13" i="13"/>
  <c r="CJ13" i="13"/>
  <c r="E13" i="13"/>
  <c r="CR13" i="13"/>
  <c r="CF13" i="13"/>
  <c r="BZ13" i="13"/>
  <c r="BY13" i="13"/>
  <c r="CC13" i="13"/>
  <c r="CQ13" i="13"/>
  <c r="CK13" i="13"/>
  <c r="CO13" i="13"/>
  <c r="CL13" i="13"/>
  <c r="CX26" i="13"/>
  <c r="DA60" i="13"/>
  <c r="CZ26" i="13"/>
  <c r="CY60" i="13"/>
  <c r="DA26" i="13"/>
  <c r="CZ60" i="13"/>
  <c r="CX60" i="13"/>
  <c r="CP43" i="13"/>
  <c r="CP60" i="13"/>
  <c r="CV43" i="13"/>
  <c r="CV60" i="13"/>
  <c r="CS43" i="13"/>
  <c r="CS60" i="13"/>
  <c r="CO43" i="13"/>
  <c r="CO60" i="13"/>
  <c r="CM43" i="13"/>
  <c r="CM60" i="13"/>
  <c r="CT43" i="13"/>
  <c r="CT60" i="13"/>
  <c r="CU43" i="13"/>
  <c r="CU60" i="13"/>
  <c r="CI43" i="13"/>
  <c r="CI60" i="13"/>
  <c r="CY26" i="13"/>
  <c r="CK43" i="13"/>
  <c r="CK60" i="13"/>
  <c r="CN43" i="13"/>
  <c r="CN60" i="13"/>
  <c r="CJ43" i="13"/>
  <c r="CJ60" i="13"/>
  <c r="CQ43" i="13"/>
  <c r="CQ60" i="13"/>
  <c r="CL43" i="13"/>
  <c r="CL60" i="13"/>
  <c r="CH43" i="13"/>
  <c r="CH60" i="13"/>
  <c r="CR43" i="13"/>
  <c r="CW43" i="13"/>
  <c r="CW60" i="13"/>
  <c r="D116" i="13"/>
  <c r="BU67" i="13"/>
  <c r="S13" i="13"/>
  <c r="Z13" i="13"/>
  <c r="AA13" i="13"/>
  <c r="X13" i="13"/>
  <c r="AC13" i="13"/>
  <c r="N13" i="13"/>
  <c r="N69" i="13"/>
  <c r="M13" i="13"/>
  <c r="M69" i="13"/>
  <c r="I13" i="13"/>
  <c r="I69" i="13"/>
  <c r="R13" i="13"/>
  <c r="R69" i="13"/>
  <c r="T13" i="13"/>
  <c r="AB13" i="13"/>
  <c r="AD13" i="13"/>
  <c r="V13" i="13"/>
  <c r="H13" i="13"/>
  <c r="H69" i="13"/>
  <c r="Y13" i="13"/>
  <c r="W13" i="13"/>
  <c r="K13" i="13"/>
  <c r="K69" i="13"/>
  <c r="L13" i="13"/>
  <c r="L69" i="13"/>
  <c r="J13" i="13"/>
  <c r="J69" i="13"/>
  <c r="P13" i="13"/>
  <c r="P69" i="13"/>
  <c r="U13" i="13"/>
  <c r="O13" i="13"/>
  <c r="O69" i="13"/>
  <c r="G13" i="13"/>
  <c r="G69" i="13"/>
  <c r="F13" i="13"/>
  <c r="F69" i="13"/>
  <c r="Q13" i="13"/>
  <c r="Q69" i="13"/>
  <c r="DA6" i="13"/>
  <c r="CV6" i="13"/>
  <c r="CY6" i="13"/>
  <c r="CT6" i="13"/>
  <c r="CS6" i="13"/>
  <c r="CU6" i="13"/>
  <c r="CZ6" i="13"/>
  <c r="CX6" i="13"/>
  <c r="CW6" i="13"/>
  <c r="V3" i="13"/>
  <c r="R3" i="13"/>
  <c r="R59" i="13"/>
  <c r="F3" i="13"/>
  <c r="F59" i="13"/>
  <c r="F72" i="13"/>
  <c r="Z3" i="13"/>
  <c r="Q3" i="13"/>
  <c r="Q59" i="13"/>
  <c r="I3" i="13"/>
  <c r="I59" i="13"/>
  <c r="N3" i="13"/>
  <c r="N59" i="13"/>
  <c r="U3" i="13"/>
  <c r="T3" i="13"/>
  <c r="O3" i="13"/>
  <c r="O59" i="13"/>
  <c r="J3" i="13"/>
  <c r="J59" i="13"/>
  <c r="S3" i="13"/>
  <c r="P3" i="13"/>
  <c r="P59" i="13"/>
  <c r="P72" i="13"/>
  <c r="L3" i="13"/>
  <c r="L59" i="13"/>
  <c r="L72" i="13"/>
  <c r="H3" i="13"/>
  <c r="H59" i="13"/>
  <c r="H72" i="13"/>
  <c r="K3" i="13"/>
  <c r="K59" i="13"/>
  <c r="M3" i="13"/>
  <c r="M59" i="13"/>
  <c r="G3" i="13"/>
  <c r="G59" i="13"/>
  <c r="AD3" i="13"/>
  <c r="BU52" i="13"/>
  <c r="BK52" i="13"/>
  <c r="BK69" i="13"/>
  <c r="BD52" i="13"/>
  <c r="BD69" i="13"/>
  <c r="BC52" i="13"/>
  <c r="BC69" i="13"/>
  <c r="CA52" i="13"/>
  <c r="CA69" i="13"/>
  <c r="BM52" i="13"/>
  <c r="BM69" i="13"/>
  <c r="BR52" i="13"/>
  <c r="BR69" i="13"/>
  <c r="BY52" i="13"/>
  <c r="BY69" i="13"/>
  <c r="BG52" i="13"/>
  <c r="BG69" i="13"/>
  <c r="BH52" i="13"/>
  <c r="BH69" i="13"/>
  <c r="BP52" i="13"/>
  <c r="BP69" i="13"/>
  <c r="BI52" i="13"/>
  <c r="BI69" i="13"/>
  <c r="BJ52" i="13"/>
  <c r="BJ69" i="13"/>
  <c r="BX52" i="13"/>
  <c r="BX69" i="13"/>
  <c r="CB52" i="13"/>
  <c r="CB69" i="13"/>
  <c r="BW52" i="13"/>
  <c r="BW69" i="13"/>
  <c r="CE52" i="13"/>
  <c r="CE69" i="13"/>
  <c r="BA52" i="13"/>
  <c r="BA69" i="13"/>
  <c r="BL52" i="13"/>
  <c r="BL69" i="13"/>
  <c r="BB52" i="13"/>
  <c r="BB69" i="13"/>
  <c r="BV52" i="13"/>
  <c r="BV69" i="13"/>
  <c r="BQ52" i="13"/>
  <c r="BQ69" i="13"/>
  <c r="BN52" i="13"/>
  <c r="BN69" i="13"/>
  <c r="BT52" i="13"/>
  <c r="BT69" i="13"/>
  <c r="CC52" i="13"/>
  <c r="CC69" i="13"/>
  <c r="BS52" i="13"/>
  <c r="BS69" i="13"/>
  <c r="BF52" i="13"/>
  <c r="BF69" i="13"/>
  <c r="CG52" i="13"/>
  <c r="CG69" i="13"/>
  <c r="BO52" i="13"/>
  <c r="BO69" i="13"/>
  <c r="CD52" i="13"/>
  <c r="CD69" i="13"/>
  <c r="BZ52" i="13"/>
  <c r="BZ69" i="13"/>
  <c r="BE52" i="13"/>
  <c r="BE69" i="13"/>
  <c r="CF52" i="13"/>
  <c r="CF69" i="13"/>
  <c r="CW35" i="13"/>
  <c r="CK35" i="13"/>
  <c r="DA66" i="13"/>
  <c r="CZ32" i="13"/>
  <c r="CX32" i="13"/>
  <c r="DA32" i="13"/>
  <c r="CY66" i="13"/>
  <c r="CX66" i="13"/>
  <c r="CZ66" i="13"/>
  <c r="CP49" i="13"/>
  <c r="CP66" i="13"/>
  <c r="CY32" i="13"/>
  <c r="CQ49" i="13"/>
  <c r="CQ66" i="13"/>
  <c r="CO49" i="13"/>
  <c r="CO66" i="13"/>
  <c r="CU49" i="13"/>
  <c r="CU66" i="13"/>
  <c r="CH49" i="13"/>
  <c r="CH66" i="13"/>
  <c r="CL49" i="13"/>
  <c r="CL66" i="13"/>
  <c r="CV49" i="13"/>
  <c r="CV66" i="13"/>
  <c r="CK49" i="13"/>
  <c r="CK66" i="13"/>
  <c r="CS49" i="13"/>
  <c r="CS66" i="13"/>
  <c r="CR49" i="13"/>
  <c r="CT49" i="13"/>
  <c r="CT66" i="13"/>
  <c r="CI49" i="13"/>
  <c r="CI66" i="13"/>
  <c r="CN49" i="13"/>
  <c r="CN66" i="13"/>
  <c r="CJ49" i="13"/>
  <c r="CJ66" i="13"/>
  <c r="CM49" i="13"/>
  <c r="CM66" i="13"/>
  <c r="CW49" i="13"/>
  <c r="CW66" i="13"/>
  <c r="CT14" i="13"/>
  <c r="DA14" i="13"/>
  <c r="CU14" i="13"/>
  <c r="CY14" i="13"/>
  <c r="CZ14" i="13"/>
  <c r="CW14" i="13"/>
  <c r="CX14" i="13"/>
  <c r="CS14" i="13"/>
  <c r="CV14" i="13"/>
  <c r="D115" i="13"/>
  <c r="BU66" i="13"/>
  <c r="B16" i="13"/>
  <c r="AE16" i="13"/>
  <c r="AK16" i="13"/>
  <c r="BJ16" i="13"/>
  <c r="BQ16" i="13"/>
  <c r="AJ16" i="13"/>
  <c r="AY16" i="13"/>
  <c r="BH16" i="13"/>
  <c r="BL16" i="13"/>
  <c r="BB16" i="13"/>
  <c r="BM16" i="13"/>
  <c r="AW16" i="13"/>
  <c r="AV16" i="13"/>
  <c r="AP16" i="13"/>
  <c r="AO16" i="13"/>
  <c r="AS16" i="13"/>
  <c r="AN16" i="13"/>
  <c r="AT16" i="13"/>
  <c r="AZ16" i="13"/>
  <c r="AG16" i="13"/>
  <c r="BE16" i="13"/>
  <c r="AL16" i="13"/>
  <c r="BC16" i="13"/>
  <c r="BO16" i="13"/>
  <c r="BG16" i="13"/>
  <c r="BS16" i="13"/>
  <c r="BT16" i="13"/>
  <c r="BF16" i="13"/>
  <c r="BU16" i="13"/>
  <c r="BA16" i="13"/>
  <c r="AR16" i="13"/>
  <c r="AU16" i="13"/>
  <c r="AQ16" i="13"/>
  <c r="BP16" i="13"/>
  <c r="BN16" i="13"/>
  <c r="AI16" i="13"/>
  <c r="BR16" i="13"/>
  <c r="BI16" i="13"/>
  <c r="AM16" i="13"/>
  <c r="AH16" i="13"/>
  <c r="BD16" i="13"/>
  <c r="BK16" i="13"/>
  <c r="AF16" i="13"/>
  <c r="AX16" i="13"/>
  <c r="CV18" i="13"/>
  <c r="CU18" i="13"/>
  <c r="CT18" i="13"/>
  <c r="CX18" i="13"/>
  <c r="CW18" i="13"/>
  <c r="CZ18" i="13"/>
  <c r="DA18" i="13"/>
  <c r="CS18" i="13"/>
  <c r="CY18" i="13"/>
  <c r="CY37" i="13"/>
  <c r="CY71" i="13"/>
  <c r="DA37" i="13"/>
  <c r="CZ71" i="13"/>
  <c r="CX37" i="13"/>
  <c r="DA71" i="13"/>
  <c r="CX71" i="13"/>
  <c r="CZ37" i="13"/>
  <c r="CP54" i="13"/>
  <c r="CP71" i="13"/>
  <c r="CN54" i="13"/>
  <c r="CN71" i="13"/>
  <c r="CM54" i="13"/>
  <c r="CM71" i="13"/>
  <c r="CV54" i="13"/>
  <c r="CV71" i="13"/>
  <c r="CI54" i="13"/>
  <c r="CI71" i="13"/>
  <c r="CL54" i="13"/>
  <c r="CL71" i="13"/>
  <c r="CS54" i="13"/>
  <c r="CS71" i="13"/>
  <c r="CR54" i="13"/>
  <c r="CK54" i="13"/>
  <c r="CK71" i="13"/>
  <c r="CQ54" i="13"/>
  <c r="CQ71" i="13"/>
  <c r="CW54" i="13"/>
  <c r="CW71" i="13"/>
  <c r="CU54" i="13"/>
  <c r="CU71" i="13"/>
  <c r="CO54" i="13"/>
  <c r="CO71" i="13"/>
  <c r="CH54" i="13"/>
  <c r="CH71" i="13"/>
  <c r="CJ54" i="13"/>
  <c r="CJ71" i="13"/>
  <c r="CT54" i="13"/>
  <c r="CT71" i="13"/>
  <c r="DA68" i="13"/>
  <c r="CY34" i="13"/>
  <c r="CX34" i="13"/>
  <c r="CZ68" i="13"/>
  <c r="CZ34" i="13"/>
  <c r="DA34" i="13"/>
  <c r="CX68" i="13"/>
  <c r="CY68" i="13"/>
  <c r="CP51" i="13"/>
  <c r="CP68" i="13"/>
  <c r="CS51" i="13"/>
  <c r="CS68" i="13"/>
  <c r="CL51" i="13"/>
  <c r="CL68" i="13"/>
  <c r="CM51" i="13"/>
  <c r="CM68" i="13"/>
  <c r="CJ51" i="13"/>
  <c r="CJ68" i="13"/>
  <c r="CO51" i="13"/>
  <c r="CO68" i="13"/>
  <c r="CU51" i="13"/>
  <c r="CU68" i="13"/>
  <c r="CR51" i="13"/>
  <c r="CW51" i="13"/>
  <c r="CW68" i="13"/>
  <c r="CK51" i="13"/>
  <c r="CK68" i="13"/>
  <c r="CQ51" i="13"/>
  <c r="CQ68" i="13"/>
  <c r="CT51" i="13"/>
  <c r="CT68" i="13"/>
  <c r="CI51" i="13"/>
  <c r="CI68" i="13"/>
  <c r="CH51" i="13"/>
  <c r="CH68" i="13"/>
  <c r="CV51" i="13"/>
  <c r="CV68" i="13"/>
  <c r="CN51" i="13"/>
  <c r="CN68" i="13"/>
  <c r="D111" i="13"/>
  <c r="BU62" i="13"/>
  <c r="CT5" i="13"/>
  <c r="CW5" i="13"/>
  <c r="CV5" i="13"/>
  <c r="CZ5" i="13"/>
  <c r="CX5" i="13"/>
  <c r="CU5" i="13"/>
  <c r="CY5" i="13"/>
  <c r="DA5" i="13"/>
  <c r="CS5" i="13"/>
  <c r="CY67" i="13"/>
  <c r="CX67" i="13"/>
  <c r="DA33" i="13"/>
  <c r="CZ33" i="13"/>
  <c r="DA67" i="13"/>
  <c r="CY33" i="13"/>
  <c r="CX33" i="13"/>
  <c r="CH50" i="13"/>
  <c r="CH67" i="13"/>
  <c r="CN50" i="13"/>
  <c r="CN67" i="13"/>
  <c r="CK50" i="13"/>
  <c r="CK67" i="13"/>
  <c r="CS50" i="13"/>
  <c r="CS67" i="13"/>
  <c r="CU50" i="13"/>
  <c r="CU67" i="13"/>
  <c r="CR50" i="13"/>
  <c r="CP50" i="13"/>
  <c r="CP67" i="13"/>
  <c r="CL50" i="13"/>
  <c r="CL67" i="13"/>
  <c r="CV50" i="13"/>
  <c r="CV67" i="13"/>
  <c r="CI50" i="13"/>
  <c r="CI67" i="13"/>
  <c r="CM50" i="13"/>
  <c r="CM67" i="13"/>
  <c r="CJ50" i="13"/>
  <c r="CJ67" i="13"/>
  <c r="CQ50" i="13"/>
  <c r="CQ67" i="13"/>
  <c r="CW50" i="13"/>
  <c r="CW67" i="13"/>
  <c r="CT50" i="13"/>
  <c r="CT67" i="13"/>
  <c r="CZ67" i="13"/>
  <c r="CO50" i="13"/>
  <c r="CO67" i="13"/>
  <c r="D117" i="13"/>
  <c r="BU68" i="13"/>
  <c r="CN25" i="13"/>
  <c r="BI42" i="13"/>
  <c r="BI59" i="13"/>
  <c r="BI72" i="13"/>
  <c r="BN42" i="13"/>
  <c r="BN59" i="13"/>
  <c r="BV42" i="13"/>
  <c r="BV59" i="13"/>
  <c r="BY42" i="13"/>
  <c r="BY59" i="13"/>
  <c r="BY72" i="13"/>
  <c r="CB42" i="13"/>
  <c r="CB59" i="13"/>
  <c r="BC42" i="13"/>
  <c r="BC59" i="13"/>
  <c r="BC72" i="13"/>
  <c r="BJ42" i="13"/>
  <c r="BJ59" i="13"/>
  <c r="BM42" i="13"/>
  <c r="BM59" i="13"/>
  <c r="BD42" i="13"/>
  <c r="BD59" i="13"/>
  <c r="BB42" i="13"/>
  <c r="BB59" i="13"/>
  <c r="BB72" i="13"/>
  <c r="BQ42" i="13"/>
  <c r="BQ59" i="13"/>
  <c r="BE42" i="13"/>
  <c r="BE59" i="13"/>
  <c r="BE72" i="13"/>
  <c r="BS42" i="13"/>
  <c r="BS59" i="13"/>
  <c r="BH42" i="13"/>
  <c r="BH59" i="13"/>
  <c r="BF42" i="13"/>
  <c r="BF59" i="13"/>
  <c r="BO42" i="13"/>
  <c r="BO59" i="13"/>
  <c r="CG42" i="13"/>
  <c r="CG59" i="13"/>
  <c r="CG72" i="13"/>
  <c r="BX42" i="13"/>
  <c r="BX59" i="13"/>
  <c r="BP42" i="13"/>
  <c r="BP59" i="13"/>
  <c r="CA42" i="13"/>
  <c r="CA59" i="13"/>
  <c r="CC42" i="13"/>
  <c r="CC59" i="13"/>
  <c r="BW42" i="13"/>
  <c r="BW59" i="13"/>
  <c r="BK42" i="13"/>
  <c r="BK59" i="13"/>
  <c r="BA42" i="13"/>
  <c r="BA59" i="13"/>
  <c r="BU42" i="13"/>
  <c r="BZ42" i="13"/>
  <c r="BZ59" i="13"/>
  <c r="BR42" i="13"/>
  <c r="BR59" i="13"/>
  <c r="BG42" i="13"/>
  <c r="BG59" i="13"/>
  <c r="CE42" i="13"/>
  <c r="CE59" i="13"/>
  <c r="BL42" i="13"/>
  <c r="BL59" i="13"/>
  <c r="BT42" i="13"/>
  <c r="BT59" i="13"/>
  <c r="BT72" i="13"/>
  <c r="CF42" i="13"/>
  <c r="CF59" i="13"/>
  <c r="CD42" i="13"/>
  <c r="CD59" i="13"/>
  <c r="D119" i="13"/>
  <c r="BU70" i="13"/>
  <c r="Q35" i="13"/>
  <c r="H35" i="13"/>
  <c r="N35" i="13"/>
  <c r="P35" i="13"/>
  <c r="R35" i="13"/>
  <c r="O35" i="13"/>
  <c r="I35" i="13"/>
  <c r="F35" i="13"/>
  <c r="J35" i="13"/>
  <c r="M35" i="13"/>
  <c r="L35" i="13"/>
  <c r="G35" i="13"/>
  <c r="AF35" i="13"/>
  <c r="AA35" i="13"/>
  <c r="AN69" i="13"/>
  <c r="AW35" i="13"/>
  <c r="V69" i="13"/>
  <c r="AP35" i="13"/>
  <c r="AA69" i="13"/>
  <c r="AX35" i="13"/>
  <c r="AE35" i="13"/>
  <c r="AV35" i="13"/>
  <c r="W69" i="13"/>
  <c r="T35" i="13"/>
  <c r="S35" i="13"/>
  <c r="Z69" i="13"/>
  <c r="AY69" i="13"/>
  <c r="AT35" i="13"/>
  <c r="U69" i="13"/>
  <c r="AI69" i="13"/>
  <c r="AL35" i="13"/>
  <c r="K35" i="13"/>
  <c r="AG69" i="13"/>
  <c r="AQ35" i="13"/>
  <c r="AO69" i="13"/>
  <c r="AS35" i="13"/>
  <c r="W35" i="13"/>
  <c r="AU35" i="13"/>
  <c r="AW69" i="13"/>
  <c r="AU69" i="13"/>
  <c r="AN35" i="13"/>
  <c r="AR35" i="13"/>
  <c r="Y35" i="13"/>
  <c r="AZ69" i="13"/>
  <c r="AM69" i="13"/>
  <c r="U35" i="13"/>
  <c r="AF69" i="13"/>
  <c r="AC35" i="13"/>
  <c r="AB35" i="13"/>
  <c r="AZ35" i="13"/>
  <c r="AJ69" i="13"/>
  <c r="AK69" i="13"/>
  <c r="X69" i="13"/>
  <c r="AR69" i="13"/>
  <c r="AX69" i="13"/>
  <c r="V35" i="13"/>
  <c r="AH69" i="13"/>
  <c r="Z35" i="13"/>
  <c r="Y69" i="13"/>
  <c r="AO35" i="13"/>
  <c r="AB69" i="13"/>
  <c r="AG35" i="13"/>
  <c r="AT69" i="13"/>
  <c r="AD35" i="13"/>
  <c r="X35" i="13"/>
  <c r="AY35" i="13"/>
  <c r="AL69" i="13"/>
  <c r="AJ35" i="13"/>
  <c r="AC69" i="13"/>
  <c r="AM35" i="13"/>
  <c r="S69" i="13"/>
  <c r="AD69" i="13"/>
  <c r="AI35" i="13"/>
  <c r="AH35" i="13"/>
  <c r="AK35" i="13"/>
  <c r="T69" i="13"/>
  <c r="AS69" i="13"/>
  <c r="AE69" i="13"/>
  <c r="AV69" i="13"/>
  <c r="AP69" i="13"/>
  <c r="AQ69" i="13"/>
  <c r="CW45" i="13"/>
  <c r="CW62" i="13"/>
  <c r="CX28" i="13"/>
  <c r="CR45" i="13"/>
  <c r="CK45" i="13"/>
  <c r="CK62" i="13"/>
  <c r="CS45" i="13"/>
  <c r="CS62" i="13"/>
  <c r="CX62" i="13"/>
  <c r="DA28" i="13"/>
  <c r="CI45" i="13"/>
  <c r="CI62" i="13"/>
  <c r="CP45" i="13"/>
  <c r="CP62" i="13"/>
  <c r="CO45" i="13"/>
  <c r="CO62" i="13"/>
  <c r="DA62" i="13"/>
  <c r="CM45" i="13"/>
  <c r="CM62" i="13"/>
  <c r="CU45" i="13"/>
  <c r="CU62" i="13"/>
  <c r="CJ45" i="13"/>
  <c r="CJ62" i="13"/>
  <c r="CL45" i="13"/>
  <c r="CL62" i="13"/>
  <c r="CY62" i="13"/>
  <c r="CT45" i="13"/>
  <c r="CT62" i="13"/>
  <c r="CN45" i="13"/>
  <c r="CN62" i="13"/>
  <c r="CQ45" i="13"/>
  <c r="CQ62" i="13"/>
  <c r="CZ28" i="13"/>
  <c r="CY28" i="13"/>
  <c r="CH45" i="13"/>
  <c r="CH62" i="13"/>
  <c r="CZ62" i="13"/>
  <c r="CV45" i="13"/>
  <c r="CV62" i="13"/>
  <c r="P25" i="13"/>
  <c r="O25" i="13"/>
  <c r="K25" i="13"/>
  <c r="K38" i="13"/>
  <c r="G25" i="13"/>
  <c r="M25" i="13"/>
  <c r="M38" i="13"/>
  <c r="L25" i="13"/>
  <c r="L38" i="13"/>
  <c r="F25" i="13"/>
  <c r="F38" i="13"/>
  <c r="R25" i="13"/>
  <c r="R38" i="13"/>
  <c r="I25" i="13"/>
  <c r="Q25" i="13"/>
  <c r="H25" i="13"/>
  <c r="J25" i="13"/>
  <c r="J38" i="13"/>
  <c r="AM59" i="13"/>
  <c r="S59" i="13"/>
  <c r="AK59" i="13"/>
  <c r="T59" i="13"/>
  <c r="T72" i="13"/>
  <c r="V59" i="13"/>
  <c r="V72" i="13"/>
  <c r="AH25" i="13"/>
  <c r="AH38" i="13"/>
  <c r="AV25" i="13"/>
  <c r="U25" i="13"/>
  <c r="AF25" i="13"/>
  <c r="AF38" i="13"/>
  <c r="U59" i="13"/>
  <c r="W25" i="13"/>
  <c r="W38" i="13"/>
  <c r="S25" i="13"/>
  <c r="AI25" i="13"/>
  <c r="AZ25" i="13"/>
  <c r="AZ38" i="13"/>
  <c r="N25" i="13"/>
  <c r="AU59" i="13"/>
  <c r="AU72" i="13"/>
  <c r="AY59" i="13"/>
  <c r="AX25" i="13"/>
  <c r="AB25" i="13"/>
  <c r="AV59" i="13"/>
  <c r="Y25" i="13"/>
  <c r="AG25" i="13"/>
  <c r="AJ25" i="13"/>
  <c r="AJ38" i="13"/>
  <c r="AY25" i="13"/>
  <c r="AP25" i="13"/>
  <c r="AP38" i="13"/>
  <c r="AD25" i="13"/>
  <c r="AA25" i="13"/>
  <c r="AN59" i="13"/>
  <c r="AE25" i="13"/>
  <c r="AE38" i="13"/>
  <c r="AT59" i="13"/>
  <c r="AR25" i="13"/>
  <c r="AT25" i="13"/>
  <c r="AF59" i="13"/>
  <c r="AL25" i="13"/>
  <c r="AS25" i="13"/>
  <c r="X25" i="13"/>
  <c r="X38" i="13"/>
  <c r="AN25" i="13"/>
  <c r="Z25" i="13"/>
  <c r="AQ25" i="13"/>
  <c r="AK25" i="13"/>
  <c r="AO25" i="13"/>
  <c r="T25" i="13"/>
  <c r="AO59" i="13"/>
  <c r="AM25" i="13"/>
  <c r="V25" i="13"/>
  <c r="AH59" i="13"/>
  <c r="Z59" i="13"/>
  <c r="AE59" i="13"/>
  <c r="AE72" i="13"/>
  <c r="AW25" i="13"/>
  <c r="AU25" i="13"/>
  <c r="AC25" i="13"/>
  <c r="D120" i="13"/>
  <c r="BU71" i="13"/>
  <c r="CS26" i="13"/>
  <c r="CJ29" i="13"/>
  <c r="CN29" i="13"/>
  <c r="CI29" i="13"/>
  <c r="BX35" i="13"/>
  <c r="BX38" i="13"/>
  <c r="BS35" i="13"/>
  <c r="BS38" i="13"/>
  <c r="BV35" i="13"/>
  <c r="BV38" i="13"/>
  <c r="CB35" i="13"/>
  <c r="BH35" i="13"/>
  <c r="BH38" i="13"/>
  <c r="CG38" i="13"/>
  <c r="CL26" i="13"/>
  <c r="CK30" i="13"/>
  <c r="CT29" i="13"/>
  <c r="CQ32" i="13"/>
  <c r="CT32" i="13"/>
  <c r="CW32" i="13"/>
  <c r="CP32" i="13"/>
  <c r="BQ35" i="13"/>
  <c r="BQ38" i="13"/>
  <c r="BL35" i="13"/>
  <c r="BU35" i="13"/>
  <c r="BU38" i="13"/>
  <c r="BP35" i="13"/>
  <c r="CC35" i="13"/>
  <c r="CC38" i="13"/>
  <c r="BG35" i="13"/>
  <c r="BG38" i="13"/>
  <c r="BN35" i="13"/>
  <c r="CH31" i="13"/>
  <c r="CT31" i="13"/>
  <c r="CS31" i="13"/>
  <c r="CH33" i="13"/>
  <c r="CW33" i="13"/>
  <c r="CJ33" i="13"/>
  <c r="CK27" i="13"/>
  <c r="CH34" i="13"/>
  <c r="CV34" i="13"/>
  <c r="CT34" i="13"/>
  <c r="CO34" i="13"/>
  <c r="CU34" i="13"/>
  <c r="BP38" i="13"/>
  <c r="BY38" i="13"/>
  <c r="AD66" i="13"/>
  <c r="CK26" i="13"/>
  <c r="CJ26" i="13"/>
  <c r="CW30" i="13"/>
  <c r="CJ30" i="13"/>
  <c r="CO29" i="13"/>
  <c r="CQ29" i="13"/>
  <c r="CN37" i="13"/>
  <c r="CO37" i="13"/>
  <c r="CI37" i="13"/>
  <c r="CU37" i="13"/>
  <c r="CL37" i="13"/>
  <c r="CU40" i="13"/>
  <c r="CY40" i="13"/>
  <c r="CV40" i="13"/>
  <c r="CZ40" i="13"/>
  <c r="CX40" i="13"/>
  <c r="CW40" i="13"/>
  <c r="CS40" i="13"/>
  <c r="DA40" i="13"/>
  <c r="CT40" i="13"/>
  <c r="CV8" i="13"/>
  <c r="CT8" i="13"/>
  <c r="CX8" i="13"/>
  <c r="CU8" i="13"/>
  <c r="DA8" i="13"/>
  <c r="CY8" i="13"/>
  <c r="CW8" i="13"/>
  <c r="CZ8" i="13"/>
  <c r="CS8" i="13"/>
  <c r="I74" i="12"/>
  <c r="CA3" i="13"/>
  <c r="CG3" i="13"/>
  <c r="BY3" i="13"/>
  <c r="CP3" i="13"/>
  <c r="CI3" i="13"/>
  <c r="CK3" i="13"/>
  <c r="CD3" i="13"/>
  <c r="CB3" i="13"/>
  <c r="CM3" i="13"/>
  <c r="CQ3" i="13"/>
  <c r="BW3" i="13"/>
  <c r="BV3" i="13"/>
  <c r="CJ3" i="13"/>
  <c r="BX3" i="13"/>
  <c r="CO3" i="13"/>
  <c r="CC3" i="13"/>
  <c r="CN3" i="13"/>
  <c r="CE3" i="13"/>
  <c r="CH3" i="13"/>
  <c r="E3" i="13"/>
  <c r="CR3" i="13"/>
  <c r="BZ3" i="13"/>
  <c r="CF3" i="13"/>
  <c r="CL3" i="13"/>
  <c r="L74" i="12"/>
  <c r="L70" i="12"/>
  <c r="D109" i="13"/>
  <c r="BU60" i="13"/>
  <c r="D112" i="13"/>
  <c r="BU63" i="13"/>
  <c r="CS7" i="13"/>
  <c r="CU7" i="13"/>
  <c r="CX7" i="13"/>
  <c r="DA7" i="13"/>
  <c r="CT7" i="13"/>
  <c r="CZ7" i="13"/>
  <c r="CW7" i="13"/>
  <c r="CV7" i="13"/>
  <c r="CY7" i="13"/>
  <c r="CX30" i="13"/>
  <c r="CZ64" i="13"/>
  <c r="CX64" i="13"/>
  <c r="DA30" i="13"/>
  <c r="DA64" i="13"/>
  <c r="CZ30" i="13"/>
  <c r="CY30" i="13"/>
  <c r="CY64" i="13"/>
  <c r="CP47" i="13"/>
  <c r="CP64" i="13"/>
  <c r="CS47" i="13"/>
  <c r="CS64" i="13"/>
  <c r="CL47" i="13"/>
  <c r="CL64" i="13"/>
  <c r="CJ47" i="13"/>
  <c r="CJ64" i="13"/>
  <c r="CN47" i="13"/>
  <c r="CN64" i="13"/>
  <c r="CR47" i="13"/>
  <c r="CW47" i="13"/>
  <c r="CW64" i="13"/>
  <c r="CQ47" i="13"/>
  <c r="CQ64" i="13"/>
  <c r="CT47" i="13"/>
  <c r="CT64" i="13"/>
  <c r="CH47" i="13"/>
  <c r="CH64" i="13"/>
  <c r="CI47" i="13"/>
  <c r="CI64" i="13"/>
  <c r="CO47" i="13"/>
  <c r="CO64" i="13"/>
  <c r="CK47" i="13"/>
  <c r="CK64" i="13"/>
  <c r="CM47" i="13"/>
  <c r="CM64" i="13"/>
  <c r="CU47" i="13"/>
  <c r="CU64" i="13"/>
  <c r="CV47" i="13"/>
  <c r="CV64" i="13"/>
  <c r="CU4" i="13"/>
  <c r="CT4" i="13"/>
  <c r="CS4" i="13"/>
  <c r="CV4" i="13"/>
  <c r="DA4" i="13"/>
  <c r="CW4" i="13"/>
  <c r="CX4" i="13"/>
  <c r="CY4" i="13"/>
  <c r="CZ4" i="13"/>
  <c r="D114" i="13"/>
  <c r="BU65" i="13"/>
  <c r="B38" i="13"/>
  <c r="CX65" i="13"/>
  <c r="DA31" i="13"/>
  <c r="CZ31" i="13"/>
  <c r="DA65" i="13"/>
  <c r="CX31" i="13"/>
  <c r="CY65" i="13"/>
  <c r="CY31" i="13"/>
  <c r="CZ65" i="13"/>
  <c r="CW48" i="13"/>
  <c r="CW65" i="13"/>
  <c r="CQ48" i="13"/>
  <c r="CQ65" i="13"/>
  <c r="CL48" i="13"/>
  <c r="CL65" i="13"/>
  <c r="CK48" i="13"/>
  <c r="CK65" i="13"/>
  <c r="CH48" i="13"/>
  <c r="CH65" i="13"/>
  <c r="CT48" i="13"/>
  <c r="CT65" i="13"/>
  <c r="CJ48" i="13"/>
  <c r="CJ65" i="13"/>
  <c r="CR48" i="13"/>
  <c r="CS48" i="13"/>
  <c r="CS65" i="13"/>
  <c r="CV48" i="13"/>
  <c r="CV65" i="13"/>
  <c r="CU48" i="13"/>
  <c r="CU65" i="13"/>
  <c r="CO48" i="13"/>
  <c r="CO65" i="13"/>
  <c r="CP48" i="13"/>
  <c r="CP65" i="13"/>
  <c r="CM48" i="13"/>
  <c r="CM65" i="13"/>
  <c r="CI48" i="13"/>
  <c r="CI65" i="13"/>
  <c r="CN48" i="13"/>
  <c r="CN65" i="13"/>
  <c r="DA39" i="13"/>
  <c r="CW39" i="13"/>
  <c r="CT39" i="13"/>
  <c r="CX39" i="13"/>
  <c r="CU39" i="13"/>
  <c r="CY39" i="13"/>
  <c r="CZ39" i="13"/>
  <c r="CS39" i="13"/>
  <c r="CV39" i="13"/>
  <c r="CZ70" i="13"/>
  <c r="CY36" i="13"/>
  <c r="CZ36" i="13"/>
  <c r="DA70" i="13"/>
  <c r="CX70" i="13"/>
  <c r="DA36" i="13"/>
  <c r="CL53" i="13"/>
  <c r="CL70" i="13"/>
  <c r="CV53" i="13"/>
  <c r="CV70" i="13"/>
  <c r="CN53" i="13"/>
  <c r="CN70" i="13"/>
  <c r="CW53" i="13"/>
  <c r="CW70" i="13"/>
  <c r="CJ53" i="13"/>
  <c r="CJ70" i="13"/>
  <c r="CO53" i="13"/>
  <c r="CO70" i="13"/>
  <c r="CM53" i="13"/>
  <c r="CM70" i="13"/>
  <c r="CI53" i="13"/>
  <c r="CI70" i="13"/>
  <c r="CU53" i="13"/>
  <c r="CU70" i="13"/>
  <c r="CK53" i="13"/>
  <c r="CK70" i="13"/>
  <c r="CX36" i="13"/>
  <c r="CH53" i="13"/>
  <c r="CH70" i="13"/>
  <c r="CQ53" i="13"/>
  <c r="CQ70" i="13"/>
  <c r="CR53" i="13"/>
  <c r="CY70" i="13"/>
  <c r="CP53" i="13"/>
  <c r="CP70" i="13"/>
  <c r="CT53" i="13"/>
  <c r="CT70" i="13"/>
  <c r="CS53" i="13"/>
  <c r="CS70" i="13"/>
  <c r="DA15" i="13"/>
  <c r="CX15" i="13"/>
  <c r="CU15" i="13"/>
  <c r="CS15" i="13"/>
  <c r="CT15" i="13"/>
  <c r="CY15" i="13"/>
  <c r="CZ15" i="13"/>
  <c r="CV15" i="13"/>
  <c r="CW15" i="13"/>
  <c r="CW12" i="13"/>
  <c r="CV12" i="13"/>
  <c r="CS12" i="13"/>
  <c r="CT12" i="13"/>
  <c r="CY12" i="13"/>
  <c r="CZ12" i="13"/>
  <c r="DA12" i="13"/>
  <c r="CX12" i="13"/>
  <c r="CU12" i="13"/>
  <c r="CR44" i="13"/>
  <c r="DA61" i="13"/>
  <c r="DA27" i="13"/>
  <c r="CJ44" i="13"/>
  <c r="CJ61" i="13"/>
  <c r="CX27" i="13"/>
  <c r="CZ61" i="13"/>
  <c r="CL44" i="13"/>
  <c r="CL61" i="13"/>
  <c r="CO44" i="13"/>
  <c r="CO61" i="13"/>
  <c r="CV44" i="13"/>
  <c r="CV61" i="13"/>
  <c r="CP44" i="13"/>
  <c r="CP61" i="13"/>
  <c r="CH44" i="13"/>
  <c r="CH61" i="13"/>
  <c r="CW44" i="13"/>
  <c r="CW61" i="13"/>
  <c r="CQ44" i="13"/>
  <c r="CQ61" i="13"/>
  <c r="CY61" i="13"/>
  <c r="CX61" i="13"/>
  <c r="CS44" i="13"/>
  <c r="CS61" i="13"/>
  <c r="CT44" i="13"/>
  <c r="CT61" i="13"/>
  <c r="CI44" i="13"/>
  <c r="CI61" i="13"/>
  <c r="CN44" i="13"/>
  <c r="CN61" i="13"/>
  <c r="CK44" i="13"/>
  <c r="CK61" i="13"/>
  <c r="CY27" i="13"/>
  <c r="CZ27" i="13"/>
  <c r="CM44" i="13"/>
  <c r="CM61" i="13"/>
  <c r="CU44" i="13"/>
  <c r="CU61" i="13"/>
  <c r="CX11" i="13"/>
  <c r="CV11" i="13"/>
  <c r="CU11" i="13"/>
  <c r="CT11" i="13"/>
  <c r="CZ11" i="13"/>
  <c r="CY11" i="13"/>
  <c r="CW11" i="13"/>
  <c r="DA11" i="13"/>
  <c r="CS11" i="13"/>
  <c r="D110" i="13"/>
  <c r="BU61" i="13"/>
  <c r="CO25" i="13"/>
  <c r="I76" i="8"/>
  <c r="D38" i="13"/>
  <c r="CZ9" i="13"/>
  <c r="CY9" i="13"/>
  <c r="CT9" i="13"/>
  <c r="CV9" i="13"/>
  <c r="CX9" i="13"/>
  <c r="DA9" i="13"/>
  <c r="CS9" i="13"/>
  <c r="CW9" i="13"/>
  <c r="CU9" i="13"/>
  <c r="CX10" i="13"/>
  <c r="CT10" i="13"/>
  <c r="CS10" i="13"/>
  <c r="DA10" i="13"/>
  <c r="CV10" i="13"/>
  <c r="CU10" i="13"/>
  <c r="CY10" i="13"/>
  <c r="CZ10" i="13"/>
  <c r="CW10" i="13"/>
  <c r="D113" i="13"/>
  <c r="BU64" i="13"/>
  <c r="CX17" i="13"/>
  <c r="CV17" i="13"/>
  <c r="CT17" i="13"/>
  <c r="CW17" i="13"/>
  <c r="CY17" i="13"/>
  <c r="CS17" i="13"/>
  <c r="CZ17" i="13"/>
  <c r="DA17" i="13"/>
  <c r="CU17" i="13"/>
  <c r="CF38" i="13"/>
  <c r="CU26" i="13"/>
  <c r="CH26" i="13"/>
  <c r="CW29" i="13"/>
  <c r="CK29" i="13"/>
  <c r="BK35" i="13"/>
  <c r="BK38" i="13"/>
  <c r="BJ35" i="13"/>
  <c r="BJ38" i="13"/>
  <c r="BW35" i="13"/>
  <c r="BW38" i="13"/>
  <c r="BA35" i="13"/>
  <c r="BA38" i="13"/>
  <c r="BR35" i="13"/>
  <c r="BR38" i="13"/>
  <c r="BN38" i="13"/>
  <c r="CI26" i="13"/>
  <c r="CO26" i="13"/>
  <c r="CR26" i="13"/>
  <c r="CP30" i="13"/>
  <c r="CN30" i="13"/>
  <c r="CS30" i="13"/>
  <c r="CS29" i="13"/>
  <c r="CP29" i="13"/>
  <c r="CM29" i="13"/>
  <c r="CV32" i="13"/>
  <c r="CM32" i="13"/>
  <c r="CR32" i="13"/>
  <c r="AD67" i="13"/>
  <c r="AD68" i="13"/>
  <c r="BT35" i="13"/>
  <c r="BT38" i="13"/>
  <c r="BI35" i="13"/>
  <c r="BI38" i="13"/>
  <c r="CE35" i="13"/>
  <c r="CE38" i="13"/>
  <c r="BO35" i="13"/>
  <c r="BO38" i="13"/>
  <c r="BD35" i="13"/>
  <c r="BD38" i="13"/>
  <c r="BE35" i="13"/>
  <c r="BZ35" i="13"/>
  <c r="BZ38" i="13"/>
  <c r="CA35" i="13"/>
  <c r="CA38" i="13"/>
  <c r="CI31" i="13"/>
  <c r="CQ31" i="13"/>
  <c r="CN31" i="13"/>
  <c r="CL33" i="13"/>
  <c r="CO33" i="13"/>
  <c r="CV33" i="13"/>
  <c r="CU33" i="13"/>
  <c r="CR33" i="13"/>
  <c r="CS33" i="13"/>
  <c r="CQ27" i="13"/>
  <c r="CR27" i="13"/>
  <c r="CN27" i="13"/>
  <c r="CV27" i="13"/>
  <c r="CJ34" i="13"/>
  <c r="CN34" i="13"/>
  <c r="CR34" i="13"/>
  <c r="BC25" i="13"/>
  <c r="BL25" i="13"/>
  <c r="CV36" i="13"/>
  <c r="CQ36" i="13"/>
  <c r="CK36" i="13"/>
  <c r="CV26" i="13"/>
  <c r="CQ26" i="13"/>
  <c r="CT26" i="13"/>
  <c r="CM26" i="13"/>
  <c r="CW26" i="13"/>
  <c r="CP26" i="13"/>
  <c r="CN26" i="13"/>
  <c r="CQ30" i="13"/>
  <c r="CI30" i="13"/>
  <c r="CL30" i="13"/>
  <c r="CU30" i="13"/>
  <c r="CH30" i="13"/>
  <c r="CM30" i="13"/>
  <c r="CV30" i="13"/>
  <c r="CR30" i="13"/>
  <c r="CV29" i="13"/>
  <c r="CR29" i="13"/>
  <c r="CL29" i="13"/>
  <c r="CH29" i="13"/>
  <c r="CU29" i="13"/>
  <c r="CM37" i="13"/>
  <c r="CR37" i="13"/>
  <c r="CV37" i="13"/>
  <c r="CT37" i="13"/>
  <c r="CK37" i="13"/>
  <c r="G86" i="9"/>
  <c r="L73" i="7"/>
  <c r="L76" i="7"/>
  <c r="L31" i="7"/>
  <c r="BV72" i="13"/>
  <c r="BC38" i="13"/>
  <c r="BE38" i="13"/>
  <c r="AT38" i="13"/>
  <c r="CE72" i="13"/>
  <c r="CC72" i="13"/>
  <c r="CL35" i="13"/>
  <c r="O72" i="13"/>
  <c r="N72" i="13"/>
  <c r="AS72" i="13"/>
  <c r="AQ72" i="13"/>
  <c r="AD59" i="13"/>
  <c r="BJ72" i="13"/>
  <c r="CB38" i="13"/>
  <c r="AW38" i="13"/>
  <c r="T38" i="13"/>
  <c r="BO72" i="13"/>
  <c r="CP25" i="13"/>
  <c r="CJ35" i="13"/>
  <c r="AP72" i="13"/>
  <c r="AO72" i="13"/>
  <c r="AT72" i="13"/>
  <c r="AL38" i="13"/>
  <c r="Y38" i="13"/>
  <c r="AJ72" i="13"/>
  <c r="Y72" i="13"/>
  <c r="G38" i="13"/>
  <c r="BA72" i="13"/>
  <c r="CM25" i="13"/>
  <c r="BS72" i="13"/>
  <c r="BD72" i="13"/>
  <c r="CO35" i="13"/>
  <c r="M72" i="13"/>
  <c r="J72" i="13"/>
  <c r="AW72" i="13"/>
  <c r="AL72" i="13"/>
  <c r="AK38" i="13"/>
  <c r="AF72" i="13"/>
  <c r="W72" i="13"/>
  <c r="AC38" i="13"/>
  <c r="V38" i="13"/>
  <c r="AO38" i="13"/>
  <c r="AS38" i="13"/>
  <c r="AD38" i="13"/>
  <c r="AX38" i="13"/>
  <c r="N38" i="13"/>
  <c r="AX72" i="13"/>
  <c r="AZ72" i="13"/>
  <c r="AK72" i="13"/>
  <c r="I38" i="13"/>
  <c r="P38" i="13"/>
  <c r="BN72" i="13"/>
  <c r="G72" i="13"/>
  <c r="AH72" i="13"/>
  <c r="AN38" i="13"/>
  <c r="AD72" i="13"/>
  <c r="AC72" i="13"/>
  <c r="BH72" i="13"/>
  <c r="AB72" i="13"/>
  <c r="Q38" i="13"/>
  <c r="BL72" i="13"/>
  <c r="BZ72" i="13"/>
  <c r="BP72" i="13"/>
  <c r="BQ72" i="13"/>
  <c r="CU25" i="13"/>
  <c r="BL38" i="13"/>
  <c r="S38" i="13"/>
  <c r="X72" i="13"/>
  <c r="CD72" i="13"/>
  <c r="BX72" i="13"/>
  <c r="G84" i="9"/>
  <c r="AG72" i="13"/>
  <c r="AB38" i="13"/>
  <c r="AI38" i="13"/>
  <c r="U72" i="13"/>
  <c r="AM72" i="13"/>
  <c r="BR72" i="13"/>
  <c r="BM72" i="13"/>
  <c r="CR16" i="13"/>
  <c r="CL16" i="13"/>
  <c r="CN16" i="13"/>
  <c r="BW16" i="13"/>
  <c r="BZ16" i="13"/>
  <c r="CG16" i="13"/>
  <c r="CF16" i="13"/>
  <c r="CB16" i="13"/>
  <c r="BX16" i="13"/>
  <c r="CH16" i="13"/>
  <c r="CQ16" i="13"/>
  <c r="CJ16" i="13"/>
  <c r="CI16" i="13"/>
  <c r="CK16" i="13"/>
  <c r="CO16" i="13"/>
  <c r="CC16" i="13"/>
  <c r="CD16" i="13"/>
  <c r="CA16" i="13"/>
  <c r="CM16" i="13"/>
  <c r="BV16" i="13"/>
  <c r="CP16" i="13"/>
  <c r="CE16" i="13"/>
  <c r="BY16" i="13"/>
  <c r="E115" i="13"/>
  <c r="CR66" i="13"/>
  <c r="E38" i="13"/>
  <c r="CK19" i="13"/>
  <c r="CY25" i="13"/>
  <c r="CY59" i="13"/>
  <c r="DA25" i="13"/>
  <c r="CX25" i="13"/>
  <c r="CK42" i="13"/>
  <c r="CK59" i="13"/>
  <c r="CO42" i="13"/>
  <c r="CO59" i="13"/>
  <c r="CS42" i="13"/>
  <c r="CS59" i="13"/>
  <c r="CM42" i="13"/>
  <c r="CM59" i="13"/>
  <c r="DA59" i="13"/>
  <c r="CZ25" i="13"/>
  <c r="CX59" i="13"/>
  <c r="CU42" i="13"/>
  <c r="CU59" i="13"/>
  <c r="CQ42" i="13"/>
  <c r="CQ59" i="13"/>
  <c r="CV42" i="13"/>
  <c r="CV59" i="13"/>
  <c r="CT42" i="13"/>
  <c r="CT59" i="13"/>
  <c r="CZ59" i="13"/>
  <c r="CW42" i="13"/>
  <c r="CW59" i="13"/>
  <c r="CP42" i="13"/>
  <c r="CP59" i="13"/>
  <c r="CL42" i="13"/>
  <c r="CL59" i="13"/>
  <c r="CI42" i="13"/>
  <c r="CI59" i="13"/>
  <c r="CN42" i="13"/>
  <c r="CN59" i="13"/>
  <c r="CR42" i="13"/>
  <c r="CH42" i="13"/>
  <c r="CH59" i="13"/>
  <c r="CJ42" i="13"/>
  <c r="CJ59" i="13"/>
  <c r="E110" i="13"/>
  <c r="CR61" i="13"/>
  <c r="L73" i="12"/>
  <c r="L76" i="12"/>
  <c r="CZ69" i="13"/>
  <c r="DA35" i="13"/>
  <c r="DA69" i="13"/>
  <c r="CN52" i="13"/>
  <c r="CN69" i="13"/>
  <c r="CU52" i="13"/>
  <c r="CU69" i="13"/>
  <c r="CX35" i="13"/>
  <c r="CH52" i="13"/>
  <c r="CH69" i="13"/>
  <c r="CI52" i="13"/>
  <c r="CI69" i="13"/>
  <c r="CQ52" i="13"/>
  <c r="CQ69" i="13"/>
  <c r="CY35" i="13"/>
  <c r="CK52" i="13"/>
  <c r="CK69" i="13"/>
  <c r="CW52" i="13"/>
  <c r="CW69" i="13"/>
  <c r="CR52" i="13"/>
  <c r="CJ52" i="13"/>
  <c r="CJ69" i="13"/>
  <c r="CS52" i="13"/>
  <c r="CS69" i="13"/>
  <c r="CL52" i="13"/>
  <c r="CL69" i="13"/>
  <c r="CX69" i="13"/>
  <c r="CZ35" i="13"/>
  <c r="CV52" i="13"/>
  <c r="CV69" i="13"/>
  <c r="CO52" i="13"/>
  <c r="CO69" i="13"/>
  <c r="CT52" i="13"/>
  <c r="CT69" i="13"/>
  <c r="CM52" i="13"/>
  <c r="CM69" i="13"/>
  <c r="CY69" i="13"/>
  <c r="CP52" i="13"/>
  <c r="CP69" i="13"/>
  <c r="E109" i="13"/>
  <c r="CR60" i="13"/>
  <c r="E119" i="13"/>
  <c r="CR70" i="13"/>
  <c r="E113" i="13"/>
  <c r="CR64" i="13"/>
  <c r="L70" i="8"/>
  <c r="L74" i="8"/>
  <c r="L75" i="8"/>
  <c r="E111" i="13"/>
  <c r="CR62" i="13"/>
  <c r="D108" i="13"/>
  <c r="BU59" i="13"/>
  <c r="E116" i="13"/>
  <c r="CR67" i="13"/>
  <c r="E117" i="13"/>
  <c r="CR68" i="13"/>
  <c r="E120" i="13"/>
  <c r="CR71" i="13"/>
  <c r="CT13" i="13"/>
  <c r="CX13" i="13"/>
  <c r="CY13" i="13"/>
  <c r="CU13" i="13"/>
  <c r="CZ13" i="13"/>
  <c r="CV13" i="13"/>
  <c r="DA13" i="13"/>
  <c r="CS13" i="13"/>
  <c r="CW13" i="13"/>
  <c r="CO38" i="13"/>
  <c r="BZ19" i="13"/>
  <c r="BG19" i="13"/>
  <c r="BX19" i="13"/>
  <c r="BN19" i="13"/>
  <c r="CF19" i="13"/>
  <c r="AG38" i="13"/>
  <c r="O38" i="13"/>
  <c r="CK25" i="13"/>
  <c r="CK38" i="13"/>
  <c r="CI25" i="13"/>
  <c r="CH25" i="13"/>
  <c r="CQ25" i="13"/>
  <c r="BJ19" i="13"/>
  <c r="BA19" i="13"/>
  <c r="BO19" i="13"/>
  <c r="BS19" i="13"/>
  <c r="CH35" i="13"/>
  <c r="CP35" i="13"/>
  <c r="Z72" i="13"/>
  <c r="AM38" i="13"/>
  <c r="AA72" i="13"/>
  <c r="AQ38" i="13"/>
  <c r="AN72" i="13"/>
  <c r="U38" i="13"/>
  <c r="H38" i="13"/>
  <c r="BG72" i="13"/>
  <c r="BW72" i="13"/>
  <c r="BF72" i="13"/>
  <c r="CW25" i="13"/>
  <c r="CW38" i="13"/>
  <c r="CB72" i="13"/>
  <c r="CS25" i="13"/>
  <c r="CL25" i="13"/>
  <c r="BB19" i="13"/>
  <c r="BV19" i="13"/>
  <c r="BC19" i="13"/>
  <c r="BL19" i="13"/>
  <c r="BW19" i="13"/>
  <c r="BU19" i="13"/>
  <c r="BI19" i="13"/>
  <c r="CI35" i="13"/>
  <c r="CR35" i="13"/>
  <c r="CT35" i="13"/>
  <c r="CQ35" i="13"/>
  <c r="Q72" i="13"/>
  <c r="R72" i="13"/>
  <c r="CX3" i="13"/>
  <c r="CZ3" i="13"/>
  <c r="CV3" i="13"/>
  <c r="CT3" i="13"/>
  <c r="CY3" i="13"/>
  <c r="CS3" i="13"/>
  <c r="CW3" i="13"/>
  <c r="CU3" i="13"/>
  <c r="DA3" i="13"/>
  <c r="S19" i="13"/>
  <c r="AQ19" i="13"/>
  <c r="R16" i="13"/>
  <c r="M16" i="13"/>
  <c r="L16" i="13"/>
  <c r="AD16" i="13"/>
  <c r="Z16" i="13"/>
  <c r="U19" i="13"/>
  <c r="N16" i="13"/>
  <c r="AO19" i="13"/>
  <c r="X16" i="13"/>
  <c r="AC19" i="13"/>
  <c r="V19" i="13"/>
  <c r="J16" i="13"/>
  <c r="AX19" i="13"/>
  <c r="AJ19" i="13"/>
  <c r="AW19" i="13"/>
  <c r="T19" i="13"/>
  <c r="AL19" i="13"/>
  <c r="V16" i="13"/>
  <c r="AN19" i="13"/>
  <c r="AZ19" i="13"/>
  <c r="T16" i="13"/>
  <c r="AS19" i="13"/>
  <c r="AR19" i="13"/>
  <c r="AG19" i="13"/>
  <c r="AB16" i="13"/>
  <c r="Y19" i="13"/>
  <c r="H16" i="13"/>
  <c r="U16" i="13"/>
  <c r="AM19" i="13"/>
  <c r="Z19" i="13"/>
  <c r="AB19" i="13"/>
  <c r="I16" i="13"/>
  <c r="K16" i="13"/>
  <c r="AH19" i="13"/>
  <c r="AF19" i="13"/>
  <c r="Q16" i="13"/>
  <c r="X19" i="13"/>
  <c r="AY19" i="13"/>
  <c r="G16" i="13"/>
  <c r="AU19" i="13"/>
  <c r="AE19" i="13"/>
  <c r="AV19" i="13"/>
  <c r="W19" i="13"/>
  <c r="AD19" i="13"/>
  <c r="S16" i="13"/>
  <c r="P16" i="13"/>
  <c r="AC16" i="13"/>
  <c r="AP19" i="13"/>
  <c r="AA19" i="13"/>
  <c r="Y16" i="13"/>
  <c r="AI19" i="13"/>
  <c r="AK19" i="13"/>
  <c r="F16" i="13"/>
  <c r="AT19" i="13"/>
  <c r="AA16" i="13"/>
  <c r="O16" i="13"/>
  <c r="W16" i="13"/>
  <c r="D118" i="13"/>
  <c r="BU69" i="13"/>
  <c r="E114" i="13"/>
  <c r="CR65" i="13"/>
  <c r="I70" i="8"/>
  <c r="L31" i="12"/>
  <c r="E112" i="13"/>
  <c r="CR63" i="13"/>
  <c r="CB19" i="13"/>
  <c r="BM19" i="13"/>
  <c r="BP19" i="13"/>
  <c r="Z38" i="13"/>
  <c r="AR38" i="13"/>
  <c r="AV38" i="13"/>
  <c r="CV25" i="13"/>
  <c r="CR25" i="13"/>
  <c r="CE19" i="13"/>
  <c r="CG19" i="13"/>
  <c r="BE19" i="13"/>
  <c r="BH19" i="13"/>
  <c r="BR19" i="13"/>
  <c r="CV35" i="13"/>
  <c r="AU38" i="13"/>
  <c r="AI72" i="13"/>
  <c r="AA38" i="13"/>
  <c r="AY38" i="13"/>
  <c r="AV72" i="13"/>
  <c r="AY72" i="13"/>
  <c r="AR72" i="13"/>
  <c r="S72" i="13"/>
  <c r="CF72" i="13"/>
  <c r="CT25" i="13"/>
  <c r="BK72" i="13"/>
  <c r="CA72" i="13"/>
  <c r="CJ25" i="13"/>
  <c r="CJ38" i="13"/>
  <c r="CA19" i="13"/>
  <c r="BT19" i="13"/>
  <c r="BQ19" i="13"/>
  <c r="BY19" i="13"/>
  <c r="CD19" i="13"/>
  <c r="BF19" i="13"/>
  <c r="BK19" i="13"/>
  <c r="BD19" i="13"/>
  <c r="CC19" i="13"/>
  <c r="CS35" i="13"/>
  <c r="CU35" i="13"/>
  <c r="CU38" i="13"/>
  <c r="CN35" i="13"/>
  <c r="CN38" i="13"/>
  <c r="CM35" i="13"/>
  <c r="CM38" i="13"/>
  <c r="K72" i="13"/>
  <c r="I72" i="13"/>
  <c r="G77" i="9"/>
  <c r="H86" i="9"/>
  <c r="H84" i="9"/>
  <c r="H77" i="9"/>
  <c r="F84" i="9"/>
  <c r="F82" i="9"/>
  <c r="F77" i="9"/>
  <c r="F85" i="9"/>
  <c r="CT38" i="13"/>
  <c r="CL38" i="13"/>
  <c r="CP38" i="13"/>
  <c r="CR38" i="13"/>
  <c r="F81" i="9"/>
  <c r="CL72" i="13"/>
  <c r="CT72" i="13"/>
  <c r="CX72" i="13"/>
  <c r="CV19" i="13"/>
  <c r="CJ19" i="13"/>
  <c r="BU72" i="13"/>
  <c r="F86" i="9"/>
  <c r="F80" i="9"/>
  <c r="AI25" i="12"/>
  <c r="CH38" i="13"/>
  <c r="CR19" i="13"/>
  <c r="CI19" i="13"/>
  <c r="AK25" i="12"/>
  <c r="CP72" i="13"/>
  <c r="CV72" i="13"/>
  <c r="CO72" i="13"/>
  <c r="CY72" i="13"/>
  <c r="CP19" i="13"/>
  <c r="L73" i="8"/>
  <c r="L76" i="8"/>
  <c r="CZ16" i="13"/>
  <c r="CX16" i="13"/>
  <c r="DA16" i="13"/>
  <c r="CV16" i="13"/>
  <c r="CY16" i="13"/>
  <c r="CW16" i="13"/>
  <c r="CT16" i="13"/>
  <c r="CU16" i="13"/>
  <c r="CS16" i="13"/>
  <c r="CI38" i="13"/>
  <c r="CZ38" i="13"/>
  <c r="CH72" i="13"/>
  <c r="DA38" i="13"/>
  <c r="CQ38" i="13"/>
  <c r="CJ72" i="13"/>
  <c r="CI72" i="13"/>
  <c r="CZ72" i="13"/>
  <c r="CU72" i="13"/>
  <c r="CM72" i="13"/>
  <c r="CX38" i="13"/>
  <c r="CQ19" i="13"/>
  <c r="CM19" i="13"/>
  <c r="CW19" i="13"/>
  <c r="CO19" i="13"/>
  <c r="CL19" i="13"/>
  <c r="CS19" i="13"/>
  <c r="E108" i="13"/>
  <c r="CR59" i="13"/>
  <c r="I74" i="8"/>
  <c r="L31" i="8"/>
  <c r="E118" i="13"/>
  <c r="CR69" i="13"/>
  <c r="CS72" i="13"/>
  <c r="CV38" i="13"/>
  <c r="CS38" i="13"/>
  <c r="CN72" i="13"/>
  <c r="CW72" i="13"/>
  <c r="CQ72" i="13"/>
  <c r="DA72" i="13"/>
  <c r="AE110" i="13"/>
  <c r="AE111" i="13"/>
  <c r="CK72" i="13"/>
  <c r="CY38" i="13"/>
  <c r="CT19" i="13"/>
  <c r="CN19" i="13"/>
  <c r="CU19" i="13"/>
  <c r="CH19" i="13"/>
  <c r="AK64" i="12"/>
  <c r="AJ25" i="12"/>
  <c r="AK24" i="12"/>
  <c r="AK52" i="12"/>
  <c r="AI24" i="12"/>
  <c r="AJ24" i="12"/>
  <c r="AK63" i="12"/>
  <c r="CR72" i="13"/>
  <c r="AK59" i="12"/>
  <c r="AK61" i="12"/>
  <c r="AJ52" i="12"/>
  <c r="AI52" i="12"/>
  <c r="AJ64" i="12"/>
  <c r="AI64" i="12"/>
  <c r="AJ58" i="12"/>
  <c r="AI58" i="12"/>
  <c r="AJ60" i="12"/>
  <c r="AI60" i="12"/>
  <c r="AI59" i="12"/>
  <c r="AJ59" i="12"/>
  <c r="AJ62" i="12"/>
  <c r="AI62" i="12"/>
  <c r="AI63" i="12"/>
  <c r="AJ63" i="12"/>
  <c r="AJ61" i="12"/>
  <c r="AI61" i="12"/>
  <c r="AK58" i="12"/>
  <c r="AK62" i="12"/>
  <c r="AK60" i="12"/>
  <c r="I77" i="9"/>
  <c r="I84" i="9"/>
  <c r="I86" i="9"/>
  <c r="I71" i="12"/>
  <c r="I125" i="7"/>
  <c r="I71" i="7"/>
  <c r="AA6" i="7"/>
  <c r="M12" i="7"/>
  <c r="AA12" i="7"/>
  <c r="M13" i="7"/>
  <c r="AA13" i="7"/>
  <c r="M14" i="7"/>
  <c r="AA14" i="7"/>
  <c r="M15" i="7"/>
  <c r="AA15" i="7"/>
  <c r="M16" i="7"/>
  <c r="AA16" i="7"/>
  <c r="M17" i="7"/>
  <c r="AA17" i="7"/>
  <c r="AA26" i="7"/>
  <c r="M27" i="7"/>
  <c r="AA27" i="7"/>
  <c r="M28" i="7"/>
  <c r="AA28" i="7"/>
  <c r="M29" i="7"/>
  <c r="AA29" i="7"/>
  <c r="Y8" i="7"/>
  <c r="AA8" i="7"/>
  <c r="Y9" i="7"/>
  <c r="AA9" i="7"/>
  <c r="Y10" i="7"/>
  <c r="AA10" i="7"/>
  <c r="Y11" i="7"/>
  <c r="AA11" i="7"/>
  <c r="J108" i="7"/>
  <c r="J109" i="7"/>
  <c r="J110" i="7"/>
  <c r="J111" i="7"/>
  <c r="J112" i="7"/>
  <c r="J113" i="7"/>
  <c r="J114" i="7"/>
  <c r="J115" i="7"/>
  <c r="J116" i="7"/>
  <c r="J117" i="7"/>
  <c r="J118" i="7"/>
  <c r="J119" i="7"/>
  <c r="J124" i="7"/>
  <c r="J70" i="7"/>
  <c r="AA70" i="7"/>
  <c r="J39" i="7"/>
  <c r="Z8" i="7"/>
  <c r="Z39" i="7"/>
  <c r="AA39" i="7"/>
  <c r="J40" i="7"/>
  <c r="Z9" i="7"/>
  <c r="Z40" i="7"/>
  <c r="AA40" i="7"/>
  <c r="J41" i="7"/>
  <c r="Z11" i="7"/>
  <c r="Z41" i="7"/>
  <c r="AA41" i="7"/>
  <c r="J42" i="7"/>
  <c r="AA42" i="7"/>
  <c r="J43" i="7"/>
  <c r="AA43" i="7"/>
  <c r="J44" i="7"/>
  <c r="AA44" i="7"/>
  <c r="J45" i="7"/>
  <c r="AA45" i="7"/>
  <c r="J46" i="7"/>
  <c r="AA46" i="7"/>
  <c r="J47" i="7"/>
  <c r="AA47" i="7"/>
  <c r="J48" i="7"/>
  <c r="AA48" i="7"/>
  <c r="J49" i="7"/>
  <c r="AA49" i="7"/>
  <c r="J50" i="7"/>
  <c r="AA50" i="7"/>
  <c r="J51" i="7"/>
  <c r="AA51" i="7"/>
  <c r="J52" i="7"/>
  <c r="AA52" i="7"/>
  <c r="J58" i="7"/>
  <c r="AA58" i="7"/>
  <c r="J59" i="7"/>
  <c r="AA59" i="7"/>
  <c r="J60" i="7"/>
  <c r="AA60" i="7"/>
  <c r="J61" i="7"/>
  <c r="AA61" i="7"/>
  <c r="J62" i="7"/>
  <c r="AA62" i="7"/>
  <c r="J63" i="7"/>
  <c r="AA63" i="7"/>
  <c r="J64" i="7"/>
  <c r="AA64" i="7"/>
  <c r="J37" i="7"/>
  <c r="J38" i="7"/>
  <c r="AA37" i="7"/>
  <c r="AA38" i="7"/>
  <c r="AA65" i="7"/>
  <c r="AG6" i="7"/>
  <c r="Y7" i="7"/>
  <c r="Z7" i="7"/>
  <c r="AB7" i="7"/>
  <c r="AD7" i="7"/>
  <c r="AF7" i="7"/>
  <c r="AG7" i="7"/>
  <c r="AC6" i="7"/>
  <c r="AC12" i="7"/>
  <c r="AC13" i="7"/>
  <c r="AC14" i="7"/>
  <c r="AC15" i="7"/>
  <c r="AC16" i="7"/>
  <c r="AC17" i="7"/>
  <c r="AC26" i="7"/>
  <c r="AC27" i="7"/>
  <c r="AC28" i="7"/>
  <c r="AC29" i="7"/>
  <c r="AC8" i="7"/>
  <c r="AB8" i="7"/>
  <c r="AE6" i="7"/>
  <c r="AE12" i="7"/>
  <c r="AE13" i="7"/>
  <c r="AE14" i="7"/>
  <c r="AE15" i="7"/>
  <c r="AE16" i="7"/>
  <c r="AE17" i="7"/>
  <c r="AE26" i="7"/>
  <c r="AE27" i="7"/>
  <c r="AE28" i="7"/>
  <c r="AE29" i="7"/>
  <c r="AC9" i="7"/>
  <c r="AC10" i="7"/>
  <c r="AC11" i="7"/>
  <c r="AE8" i="7"/>
  <c r="AD8" i="7"/>
  <c r="AF8" i="7"/>
  <c r="AG8" i="7"/>
  <c r="AB9" i="7"/>
  <c r="AE9" i="7"/>
  <c r="AD9" i="7"/>
  <c r="AF9" i="7"/>
  <c r="AG9" i="7"/>
  <c r="Z10" i="7"/>
  <c r="AB10" i="7"/>
  <c r="AE10" i="7"/>
  <c r="AD10" i="7"/>
  <c r="AF10" i="7"/>
  <c r="AG10" i="7"/>
  <c r="AB11" i="7"/>
  <c r="AD11" i="7"/>
  <c r="AF11" i="7"/>
  <c r="AG11" i="7"/>
  <c r="AG12" i="7"/>
  <c r="AG13" i="7"/>
  <c r="AG14" i="7"/>
  <c r="AG15" i="7"/>
  <c r="AG16" i="7"/>
  <c r="AG17" i="7"/>
  <c r="AG26" i="7"/>
  <c r="AG27" i="7"/>
  <c r="AG28" i="7"/>
  <c r="AG29" i="7"/>
  <c r="Z37" i="7"/>
  <c r="AC70" i="7"/>
  <c r="AB39" i="7"/>
  <c r="AC39" i="7"/>
  <c r="AB40" i="7"/>
  <c r="AC40" i="7"/>
  <c r="AB41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8" i="7"/>
  <c r="AC59" i="7"/>
  <c r="AC60" i="7"/>
  <c r="AC61" i="7"/>
  <c r="AC62" i="7"/>
  <c r="AC63" i="7"/>
  <c r="AC64" i="7"/>
  <c r="AC37" i="7"/>
  <c r="AB37" i="7"/>
  <c r="AE11" i="7"/>
  <c r="AE70" i="7"/>
  <c r="AD39" i="7"/>
  <c r="AE39" i="7"/>
  <c r="AD40" i="7"/>
  <c r="AE40" i="7"/>
  <c r="AD41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8" i="7"/>
  <c r="AE59" i="7"/>
  <c r="AE60" i="7"/>
  <c r="AE61" i="7"/>
  <c r="AE62" i="7"/>
  <c r="AE63" i="7"/>
  <c r="AE64" i="7"/>
  <c r="AC38" i="7"/>
  <c r="AE37" i="7"/>
  <c r="AD37" i="7"/>
  <c r="AF37" i="7"/>
  <c r="AG37" i="7"/>
  <c r="Z38" i="7"/>
  <c r="AB38" i="7"/>
  <c r="AE38" i="7"/>
  <c r="AD38" i="7"/>
  <c r="AF38" i="7"/>
  <c r="AG38" i="7"/>
  <c r="AF39" i="7"/>
  <c r="AG39" i="7"/>
  <c r="AF40" i="7"/>
  <c r="AG40" i="7"/>
  <c r="AF41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8" i="7"/>
  <c r="AG59" i="7"/>
  <c r="AG60" i="7"/>
  <c r="AG61" i="7"/>
  <c r="AG62" i="7"/>
  <c r="AG63" i="7"/>
  <c r="AG64" i="7"/>
  <c r="AG65" i="7"/>
  <c r="AG70" i="7"/>
  <c r="J125" i="7"/>
  <c r="J128" i="7"/>
  <c r="J126" i="7"/>
  <c r="J127" i="7"/>
  <c r="J130" i="7"/>
  <c r="J129" i="7"/>
  <c r="J75" i="7"/>
  <c r="AA79" i="7"/>
  <c r="AA30" i="7"/>
  <c r="AA32" i="7"/>
  <c r="Y6" i="7"/>
  <c r="Y12" i="7"/>
  <c r="Y13" i="7"/>
  <c r="Y14" i="7"/>
  <c r="Y15" i="7"/>
  <c r="Y16" i="7"/>
  <c r="Y17" i="7"/>
  <c r="Y26" i="7"/>
  <c r="Y27" i="7"/>
  <c r="Y28" i="7"/>
  <c r="Y29" i="7"/>
  <c r="M30" i="7"/>
  <c r="Y30" i="7"/>
  <c r="M31" i="7"/>
  <c r="Y31" i="7"/>
  <c r="Y32" i="7"/>
  <c r="AA31" i="7"/>
  <c r="AA77" i="7"/>
  <c r="AA74" i="7"/>
  <c r="AC65" i="7"/>
  <c r="AC79" i="7"/>
  <c r="AC30" i="7"/>
  <c r="AC32" i="7"/>
  <c r="AC31" i="7"/>
  <c r="AC77" i="7"/>
  <c r="AC74" i="7"/>
  <c r="AE65" i="7"/>
  <c r="AE79" i="7"/>
  <c r="AE30" i="7"/>
  <c r="AE32" i="7"/>
  <c r="AE31" i="7"/>
  <c r="AE77" i="7"/>
  <c r="AE74" i="7"/>
  <c r="AG79" i="7"/>
  <c r="AG30" i="7"/>
  <c r="AG32" i="7"/>
  <c r="AG31" i="7"/>
  <c r="AG77" i="7"/>
  <c r="AI77" i="7"/>
  <c r="AK77" i="7"/>
  <c r="AE6" i="8"/>
  <c r="M12" i="8"/>
  <c r="AE12" i="8"/>
  <c r="M13" i="8"/>
  <c r="AE13" i="8"/>
  <c r="M14" i="8"/>
  <c r="AE14" i="8"/>
  <c r="M15" i="8"/>
  <c r="AE15" i="8"/>
  <c r="M16" i="8"/>
  <c r="AE16" i="8"/>
  <c r="M17" i="8"/>
  <c r="AE17" i="8"/>
  <c r="AE26" i="8"/>
  <c r="M27" i="8"/>
  <c r="AE27" i="8"/>
  <c r="M28" i="8"/>
  <c r="AE28" i="8"/>
  <c r="M29" i="8"/>
  <c r="AE29" i="8"/>
  <c r="Y7" i="8"/>
  <c r="Y8" i="8"/>
  <c r="AA6" i="8"/>
  <c r="AA12" i="8"/>
  <c r="AA13" i="8"/>
  <c r="AA14" i="8"/>
  <c r="AA15" i="8"/>
  <c r="AA16" i="8"/>
  <c r="AA17" i="8"/>
  <c r="AA26" i="8"/>
  <c r="AA27" i="8"/>
  <c r="AA28" i="8"/>
  <c r="AA29" i="8"/>
  <c r="AA8" i="8"/>
  <c r="AC6" i="8"/>
  <c r="AC12" i="8"/>
  <c r="AC13" i="8"/>
  <c r="AC14" i="8"/>
  <c r="AC15" i="8"/>
  <c r="AC16" i="8"/>
  <c r="AC17" i="8"/>
  <c r="AC26" i="8"/>
  <c r="AC27" i="8"/>
  <c r="AC28" i="8"/>
  <c r="AC29" i="8"/>
  <c r="Y9" i="8"/>
  <c r="AA9" i="8"/>
  <c r="Y10" i="8"/>
  <c r="AA10" i="8"/>
  <c r="Y11" i="8"/>
  <c r="AA11" i="8"/>
  <c r="AC8" i="8"/>
  <c r="AC9" i="8"/>
  <c r="AC10" i="8"/>
  <c r="AC11" i="8"/>
  <c r="AE8" i="8"/>
  <c r="AE9" i="8"/>
  <c r="AE10" i="8"/>
  <c r="AE11" i="8"/>
  <c r="J108" i="8"/>
  <c r="J109" i="8"/>
  <c r="J110" i="8"/>
  <c r="J111" i="8"/>
  <c r="J112" i="8"/>
  <c r="J113" i="8"/>
  <c r="J114" i="8"/>
  <c r="J115" i="8"/>
  <c r="J116" i="8"/>
  <c r="J117" i="8"/>
  <c r="J118" i="8"/>
  <c r="J119" i="8"/>
  <c r="J124" i="8"/>
  <c r="J70" i="8"/>
  <c r="AA70" i="8"/>
  <c r="J39" i="8"/>
  <c r="Z8" i="8"/>
  <c r="Z39" i="8"/>
  <c r="AA39" i="8"/>
  <c r="J40" i="8"/>
  <c r="Z9" i="8"/>
  <c r="Z40" i="8"/>
  <c r="AA40" i="8"/>
  <c r="J41" i="8"/>
  <c r="Z11" i="8"/>
  <c r="Z41" i="8"/>
  <c r="AA41" i="8"/>
  <c r="J42" i="8"/>
  <c r="AA42" i="8"/>
  <c r="J43" i="8"/>
  <c r="AA43" i="8"/>
  <c r="J44" i="8"/>
  <c r="AA44" i="8"/>
  <c r="J45" i="8"/>
  <c r="AA45" i="8"/>
  <c r="J46" i="8"/>
  <c r="AA46" i="8"/>
  <c r="J47" i="8"/>
  <c r="AA47" i="8"/>
  <c r="J48" i="8"/>
  <c r="AA48" i="8"/>
  <c r="J49" i="8"/>
  <c r="AA49" i="8"/>
  <c r="J50" i="8"/>
  <c r="AA50" i="8"/>
  <c r="J51" i="8"/>
  <c r="AA51" i="8"/>
  <c r="J52" i="8"/>
  <c r="AA52" i="8"/>
  <c r="J58" i="8"/>
  <c r="AA58" i="8"/>
  <c r="J59" i="8"/>
  <c r="AA59" i="8"/>
  <c r="J60" i="8"/>
  <c r="AA60" i="8"/>
  <c r="J61" i="8"/>
  <c r="AA61" i="8"/>
  <c r="J62" i="8"/>
  <c r="AA62" i="8"/>
  <c r="J63" i="8"/>
  <c r="AA63" i="8"/>
  <c r="J64" i="8"/>
  <c r="AA64" i="8"/>
  <c r="AA37" i="8"/>
  <c r="AA38" i="8"/>
  <c r="AA65" i="8"/>
  <c r="AG6" i="8"/>
  <c r="Z7" i="8"/>
  <c r="AB7" i="8"/>
  <c r="AD7" i="8"/>
  <c r="AF7" i="8"/>
  <c r="AG7" i="8"/>
  <c r="AB8" i="8"/>
  <c r="AD8" i="8"/>
  <c r="AF8" i="8"/>
  <c r="AG8" i="8"/>
  <c r="AB9" i="8"/>
  <c r="AD9" i="8"/>
  <c r="AF9" i="8"/>
  <c r="AG9" i="8"/>
  <c r="Z10" i="8"/>
  <c r="AB10" i="8"/>
  <c r="AD10" i="8"/>
  <c r="AF10" i="8"/>
  <c r="AG10" i="8"/>
  <c r="AB11" i="8"/>
  <c r="AD11" i="8"/>
  <c r="AF11" i="8"/>
  <c r="AG11" i="8"/>
  <c r="AG12" i="8"/>
  <c r="AG13" i="8"/>
  <c r="AG14" i="8"/>
  <c r="AG15" i="8"/>
  <c r="AG16" i="8"/>
  <c r="AG17" i="8"/>
  <c r="AG26" i="8"/>
  <c r="AG27" i="8"/>
  <c r="AG28" i="8"/>
  <c r="AG29" i="8"/>
  <c r="J37" i="8"/>
  <c r="Z37" i="8"/>
  <c r="AC70" i="8"/>
  <c r="AB39" i="8"/>
  <c r="AC39" i="8"/>
  <c r="AB40" i="8"/>
  <c r="AC40" i="8"/>
  <c r="AB41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8" i="8"/>
  <c r="AC59" i="8"/>
  <c r="AC60" i="8"/>
  <c r="AC61" i="8"/>
  <c r="AC62" i="8"/>
  <c r="AC63" i="8"/>
  <c r="AC64" i="8"/>
  <c r="AC37" i="8"/>
  <c r="AB37" i="8"/>
  <c r="AE70" i="8"/>
  <c r="AD39" i="8"/>
  <c r="AE39" i="8"/>
  <c r="AD40" i="8"/>
  <c r="AE40" i="8"/>
  <c r="AD41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8" i="8"/>
  <c r="AE59" i="8"/>
  <c r="AE60" i="8"/>
  <c r="AE61" i="8"/>
  <c r="AE62" i="8"/>
  <c r="AE63" i="8"/>
  <c r="AE64" i="8"/>
  <c r="AE37" i="8"/>
  <c r="AD37" i="8"/>
  <c r="AF37" i="8"/>
  <c r="AG37" i="8"/>
  <c r="J38" i="8"/>
  <c r="Z38" i="8"/>
  <c r="AC38" i="8"/>
  <c r="AB38" i="8"/>
  <c r="AE38" i="8"/>
  <c r="AD38" i="8"/>
  <c r="AF38" i="8"/>
  <c r="AG38" i="8"/>
  <c r="AF39" i="8"/>
  <c r="AG39" i="8"/>
  <c r="AF40" i="8"/>
  <c r="AG40" i="8"/>
  <c r="AF41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8" i="8"/>
  <c r="AG59" i="8"/>
  <c r="AG60" i="8"/>
  <c r="AG61" i="8"/>
  <c r="AG62" i="8"/>
  <c r="AG63" i="8"/>
  <c r="AG64" i="8"/>
  <c r="AG65" i="8"/>
  <c r="AG70" i="8"/>
  <c r="J125" i="8"/>
  <c r="J128" i="8"/>
  <c r="J126" i="8"/>
  <c r="J127" i="8"/>
  <c r="J130" i="8"/>
  <c r="J129" i="8"/>
  <c r="J75" i="8"/>
  <c r="AA79" i="8"/>
  <c r="AA30" i="8"/>
  <c r="AA74" i="8"/>
  <c r="AC65" i="8"/>
  <c r="AC79" i="8"/>
  <c r="AC30" i="8"/>
  <c r="AC74" i="8"/>
  <c r="AE65" i="8"/>
  <c r="AE79" i="8"/>
  <c r="AE30" i="8"/>
  <c r="AE32" i="8"/>
  <c r="Y6" i="8"/>
  <c r="Y12" i="8"/>
  <c r="Y13" i="8"/>
  <c r="Y14" i="8"/>
  <c r="Y15" i="8"/>
  <c r="Y16" i="8"/>
  <c r="Y17" i="8"/>
  <c r="Y26" i="8"/>
  <c r="Y27" i="8"/>
  <c r="Y28" i="8"/>
  <c r="Y29" i="8"/>
  <c r="M30" i="8"/>
  <c r="Y30" i="8"/>
  <c r="M31" i="8"/>
  <c r="Y31" i="8"/>
  <c r="Y32" i="8"/>
  <c r="AE31" i="8"/>
  <c r="AE77" i="8"/>
  <c r="AE74" i="8"/>
  <c r="AG79" i="8"/>
  <c r="AG30" i="8"/>
  <c r="AG32" i="8"/>
  <c r="AG31" i="8"/>
  <c r="AG77" i="8"/>
  <c r="AK77" i="8"/>
  <c r="AA32" i="8"/>
  <c r="AA31" i="8"/>
  <c r="AA77" i="8"/>
  <c r="AC32" i="8"/>
  <c r="AC31" i="8"/>
  <c r="AC77" i="8"/>
  <c r="AI77" i="8"/>
  <c r="AA76" i="8"/>
  <c r="AC76" i="8"/>
  <c r="AE76" i="8"/>
  <c r="AG76" i="8"/>
  <c r="AI76" i="8"/>
  <c r="AI70" i="8"/>
  <c r="AG74" i="8"/>
  <c r="AI74" i="8"/>
  <c r="AI75" i="8"/>
  <c r="AJ76" i="8"/>
  <c r="AJ70" i="8"/>
  <c r="AJ74" i="8"/>
  <c r="AJ75" i="8"/>
  <c r="AK76" i="8"/>
  <c r="AK70" i="8"/>
  <c r="AK74" i="8"/>
  <c r="AK75" i="8"/>
  <c r="AA76" i="7"/>
  <c r="AC76" i="7"/>
  <c r="AJ76" i="7"/>
  <c r="AJ70" i="7"/>
  <c r="AJ74" i="7"/>
  <c r="AJ75" i="7"/>
  <c r="AE76" i="7"/>
  <c r="AG76" i="7"/>
  <c r="AK76" i="7"/>
  <c r="AK70" i="7"/>
  <c r="AG74" i="7"/>
  <c r="AK74" i="7"/>
  <c r="AK75" i="7"/>
  <c r="AI76" i="7"/>
  <c r="AI70" i="7"/>
  <c r="AI74" i="7"/>
  <c r="AI75" i="7"/>
  <c r="AK6" i="8"/>
  <c r="AK7" i="8"/>
  <c r="AK8" i="8"/>
  <c r="AK9" i="8"/>
  <c r="AK10" i="8"/>
  <c r="AK11" i="8"/>
  <c r="AK12" i="8"/>
  <c r="AK13" i="8"/>
  <c r="AK14" i="8"/>
  <c r="AK15" i="8"/>
  <c r="AK16" i="8"/>
  <c r="AK17" i="8"/>
  <c r="AK26" i="8"/>
  <c r="AK27" i="8"/>
  <c r="AK28" i="8"/>
  <c r="AK29" i="8"/>
  <c r="AK30" i="8"/>
  <c r="AK31" i="8"/>
  <c r="AK32" i="8"/>
  <c r="AK6" i="7"/>
  <c r="AK7" i="7"/>
  <c r="AK8" i="7"/>
  <c r="AK9" i="7"/>
  <c r="AK10" i="7"/>
  <c r="AK11" i="7"/>
  <c r="AK12" i="7"/>
  <c r="AK13" i="7"/>
  <c r="AK14" i="7"/>
  <c r="AK15" i="7"/>
  <c r="AK16" i="7"/>
  <c r="AK17" i="7"/>
  <c r="AK26" i="7"/>
  <c r="AK27" i="7"/>
  <c r="AK28" i="7"/>
  <c r="AK29" i="7"/>
  <c r="AK30" i="7"/>
  <c r="AK31" i="7"/>
  <c r="AK32" i="7"/>
  <c r="AI31" i="7"/>
  <c r="AE6" i="1"/>
  <c r="M12" i="1"/>
  <c r="AE12" i="1"/>
  <c r="M13" i="1"/>
  <c r="AE13" i="1"/>
  <c r="M14" i="1"/>
  <c r="AE14" i="1"/>
  <c r="M15" i="1"/>
  <c r="AE15" i="1"/>
  <c r="M16" i="1"/>
  <c r="AE16" i="1"/>
  <c r="M17" i="1"/>
  <c r="AE17" i="1"/>
  <c r="AE26" i="1"/>
  <c r="M27" i="1"/>
  <c r="AE27" i="1"/>
  <c r="M28" i="1"/>
  <c r="AE28" i="1"/>
  <c r="M29" i="1"/>
  <c r="AE29" i="1"/>
  <c r="Y7" i="1"/>
  <c r="Y8" i="1"/>
  <c r="AA6" i="1"/>
  <c r="AA12" i="1"/>
  <c r="AA13" i="1"/>
  <c r="AA14" i="1"/>
  <c r="AA15" i="1"/>
  <c r="AA16" i="1"/>
  <c r="AA17" i="1"/>
  <c r="AA26" i="1"/>
  <c r="AA27" i="1"/>
  <c r="AA28" i="1"/>
  <c r="AA29" i="1"/>
  <c r="AA8" i="1"/>
  <c r="AC6" i="1"/>
  <c r="AC12" i="1"/>
  <c r="AC13" i="1"/>
  <c r="AC14" i="1"/>
  <c r="AC15" i="1"/>
  <c r="AC16" i="1"/>
  <c r="AC17" i="1"/>
  <c r="AC26" i="1"/>
  <c r="AC27" i="1"/>
  <c r="AC28" i="1"/>
  <c r="AC29" i="1"/>
  <c r="Y9" i="1"/>
  <c r="AA9" i="1"/>
  <c r="Y10" i="1"/>
  <c r="AA10" i="1"/>
  <c r="Y11" i="1"/>
  <c r="AA11" i="1"/>
  <c r="AC8" i="1"/>
  <c r="AC9" i="1"/>
  <c r="AC10" i="1"/>
  <c r="AC11" i="1"/>
  <c r="AE8" i="1"/>
  <c r="AE9" i="1"/>
  <c r="AE10" i="1"/>
  <c r="AE11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4" i="1"/>
  <c r="J70" i="1"/>
  <c r="AA70" i="1"/>
  <c r="J39" i="1"/>
  <c r="Z8" i="1"/>
  <c r="Z39" i="1"/>
  <c r="AA39" i="1"/>
  <c r="J40" i="1"/>
  <c r="Z9" i="1"/>
  <c r="Z40" i="1"/>
  <c r="AA40" i="1"/>
  <c r="J41" i="1"/>
  <c r="Z11" i="1"/>
  <c r="Z41" i="1"/>
  <c r="AA41" i="1"/>
  <c r="J42" i="1"/>
  <c r="AA42" i="1"/>
  <c r="J43" i="1"/>
  <c r="AA43" i="1"/>
  <c r="J44" i="1"/>
  <c r="AA44" i="1"/>
  <c r="J45" i="1"/>
  <c r="AA45" i="1"/>
  <c r="J46" i="1"/>
  <c r="AA46" i="1"/>
  <c r="J47" i="1"/>
  <c r="AA47" i="1"/>
  <c r="J48" i="1"/>
  <c r="AA48" i="1"/>
  <c r="J49" i="1"/>
  <c r="AA49" i="1"/>
  <c r="J55" i="1"/>
  <c r="AA55" i="1"/>
  <c r="J56" i="1"/>
  <c r="AA56" i="1"/>
  <c r="J57" i="1"/>
  <c r="AA57" i="1"/>
  <c r="J58" i="1"/>
  <c r="AA58" i="1"/>
  <c r="J59" i="1"/>
  <c r="AA59" i="1"/>
  <c r="J60" i="1"/>
  <c r="AA60" i="1"/>
  <c r="J61" i="1"/>
  <c r="AA61" i="1"/>
  <c r="J62" i="1"/>
  <c r="AA62" i="1"/>
  <c r="J63" i="1"/>
  <c r="AA63" i="1"/>
  <c r="J64" i="1"/>
  <c r="AA64" i="1"/>
  <c r="J37" i="1"/>
  <c r="J38" i="1"/>
  <c r="AA37" i="1"/>
  <c r="AA38" i="1"/>
  <c r="AA65" i="1"/>
  <c r="AG6" i="1"/>
  <c r="Z7" i="1"/>
  <c r="AB7" i="1"/>
  <c r="AD7" i="1"/>
  <c r="AF7" i="1"/>
  <c r="AG7" i="1"/>
  <c r="AB8" i="1"/>
  <c r="AD8" i="1"/>
  <c r="AF8" i="1"/>
  <c r="AG8" i="1"/>
  <c r="AB9" i="1"/>
  <c r="AD9" i="1"/>
  <c r="AF9" i="1"/>
  <c r="AG9" i="1"/>
  <c r="Z10" i="1"/>
  <c r="AB10" i="1"/>
  <c r="AD10" i="1"/>
  <c r="AF10" i="1"/>
  <c r="AG10" i="1"/>
  <c r="AB11" i="1"/>
  <c r="AD11" i="1"/>
  <c r="AF11" i="1"/>
  <c r="AG11" i="1"/>
  <c r="AG12" i="1"/>
  <c r="AG13" i="1"/>
  <c r="AG14" i="1"/>
  <c r="AG15" i="1"/>
  <c r="AG16" i="1"/>
  <c r="AG17" i="1"/>
  <c r="AG26" i="1"/>
  <c r="AG27" i="1"/>
  <c r="AG28" i="1"/>
  <c r="AG29" i="1"/>
  <c r="Z37" i="1"/>
  <c r="AC70" i="1"/>
  <c r="AB39" i="1"/>
  <c r="AC39" i="1"/>
  <c r="AB40" i="1"/>
  <c r="AC40" i="1"/>
  <c r="AB41" i="1"/>
  <c r="AC41" i="1"/>
  <c r="AC42" i="1"/>
  <c r="AC43" i="1"/>
  <c r="AC44" i="1"/>
  <c r="AC45" i="1"/>
  <c r="AC46" i="1"/>
  <c r="AC47" i="1"/>
  <c r="AC48" i="1"/>
  <c r="AC49" i="1"/>
  <c r="AC55" i="1"/>
  <c r="AC56" i="1"/>
  <c r="AC57" i="1"/>
  <c r="AC58" i="1"/>
  <c r="AC59" i="1"/>
  <c r="AC60" i="1"/>
  <c r="AC61" i="1"/>
  <c r="AC62" i="1"/>
  <c r="AC63" i="1"/>
  <c r="AC64" i="1"/>
  <c r="AC37" i="1"/>
  <c r="AB37" i="1"/>
  <c r="AE70" i="1"/>
  <c r="AD39" i="1"/>
  <c r="AE39" i="1"/>
  <c r="AD40" i="1"/>
  <c r="AE40" i="1"/>
  <c r="AD41" i="1"/>
  <c r="AE41" i="1"/>
  <c r="AE42" i="1"/>
  <c r="AE43" i="1"/>
  <c r="AE44" i="1"/>
  <c r="AE45" i="1"/>
  <c r="AE46" i="1"/>
  <c r="AE47" i="1"/>
  <c r="AE48" i="1"/>
  <c r="AE49" i="1"/>
  <c r="AE55" i="1"/>
  <c r="AE56" i="1"/>
  <c r="AE57" i="1"/>
  <c r="AE58" i="1"/>
  <c r="AE59" i="1"/>
  <c r="AE60" i="1"/>
  <c r="AE61" i="1"/>
  <c r="AE62" i="1"/>
  <c r="AE63" i="1"/>
  <c r="AE64" i="1"/>
  <c r="AC38" i="1"/>
  <c r="AE37" i="1"/>
  <c r="AD37" i="1"/>
  <c r="AF37" i="1"/>
  <c r="AG37" i="1"/>
  <c r="Z38" i="1"/>
  <c r="AB38" i="1"/>
  <c r="AE38" i="1"/>
  <c r="AD38" i="1"/>
  <c r="AF38" i="1"/>
  <c r="AG38" i="1"/>
  <c r="AF39" i="1"/>
  <c r="AG39" i="1"/>
  <c r="AF40" i="1"/>
  <c r="AG40" i="1"/>
  <c r="AF41" i="1"/>
  <c r="AG41" i="1"/>
  <c r="AG42" i="1"/>
  <c r="AG43" i="1"/>
  <c r="AG44" i="1"/>
  <c r="AG45" i="1"/>
  <c r="AG46" i="1"/>
  <c r="AG47" i="1"/>
  <c r="AG48" i="1"/>
  <c r="AG49" i="1"/>
  <c r="AG55" i="1"/>
  <c r="AG56" i="1"/>
  <c r="AG57" i="1"/>
  <c r="AG58" i="1"/>
  <c r="AG59" i="1"/>
  <c r="AG60" i="1"/>
  <c r="AG61" i="1"/>
  <c r="AG62" i="1"/>
  <c r="AG63" i="1"/>
  <c r="AG64" i="1"/>
  <c r="AG65" i="1"/>
  <c r="AG70" i="1"/>
  <c r="J125" i="1"/>
  <c r="J128" i="1"/>
  <c r="J126" i="1"/>
  <c r="J127" i="1"/>
  <c r="J130" i="1"/>
  <c r="J129" i="1"/>
  <c r="J75" i="1"/>
  <c r="AA79" i="1"/>
  <c r="AA30" i="1"/>
  <c r="AA74" i="1"/>
  <c r="AC65" i="1"/>
  <c r="AC79" i="1"/>
  <c r="AC30" i="1"/>
  <c r="AC74" i="1"/>
  <c r="AE65" i="1"/>
  <c r="AE79" i="1"/>
  <c r="AE30" i="1"/>
  <c r="AE32" i="1"/>
  <c r="Y6" i="1"/>
  <c r="Y12" i="1"/>
  <c r="Y13" i="1"/>
  <c r="Y14" i="1"/>
  <c r="Y15" i="1"/>
  <c r="Y16" i="1"/>
  <c r="Y17" i="1"/>
  <c r="Y26" i="1"/>
  <c r="Y27" i="1"/>
  <c r="Y28" i="1"/>
  <c r="Y29" i="1"/>
  <c r="M30" i="1"/>
  <c r="Y30" i="1"/>
  <c r="M31" i="1"/>
  <c r="Y31" i="1"/>
  <c r="Y32" i="1"/>
  <c r="AE31" i="1"/>
  <c r="AE77" i="1"/>
  <c r="AE74" i="1"/>
  <c r="AG79" i="1"/>
  <c r="AG30" i="1"/>
  <c r="AG32" i="1"/>
  <c r="AG31" i="1"/>
  <c r="AG77" i="1"/>
  <c r="AK77" i="1"/>
  <c r="AA32" i="1"/>
  <c r="AA31" i="1"/>
  <c r="AA77" i="1"/>
  <c r="AC32" i="1"/>
  <c r="AC31" i="1"/>
  <c r="AC77" i="1"/>
  <c r="AI77" i="1"/>
  <c r="AI31" i="8"/>
  <c r="AK6" i="1"/>
  <c r="AK7" i="1"/>
  <c r="AK8" i="1"/>
  <c r="AK9" i="1"/>
  <c r="AK10" i="1"/>
  <c r="AK11" i="1"/>
  <c r="AK12" i="1"/>
  <c r="AK13" i="1"/>
  <c r="AK14" i="1"/>
  <c r="AK15" i="1"/>
  <c r="AK16" i="1"/>
  <c r="AK17" i="1"/>
  <c r="AK26" i="1"/>
  <c r="AK27" i="1"/>
  <c r="AK28" i="1"/>
  <c r="AK29" i="1"/>
  <c r="AK30" i="1"/>
  <c r="AK31" i="1"/>
  <c r="AK32" i="1"/>
  <c r="AI31" i="1"/>
  <c r="AI30" i="8"/>
  <c r="Z30" i="8"/>
  <c r="AB30" i="8"/>
  <c r="AD30" i="8"/>
  <c r="AF30" i="8"/>
  <c r="AH30" i="8"/>
  <c r="AA76" i="1"/>
  <c r="AC76" i="1"/>
  <c r="AJ76" i="1"/>
  <c r="AJ70" i="1"/>
  <c r="AJ74" i="1"/>
  <c r="AJ75" i="1"/>
  <c r="AE76" i="1"/>
  <c r="AG76" i="1"/>
  <c r="AK76" i="1"/>
  <c r="AK70" i="1"/>
  <c r="AG74" i="1"/>
  <c r="AK74" i="1"/>
  <c r="AK75" i="1"/>
  <c r="AI76" i="1"/>
  <c r="AI70" i="1"/>
  <c r="AI74" i="1"/>
  <c r="AI75" i="1"/>
  <c r="AI30" i="7"/>
  <c r="Z30" i="7"/>
  <c r="AB30" i="7"/>
  <c r="AD30" i="7"/>
  <c r="AF30" i="7"/>
  <c r="AH30" i="7"/>
  <c r="AI30" i="1"/>
  <c r="Z30" i="1"/>
  <c r="AB30" i="1"/>
  <c r="AD30" i="1"/>
  <c r="AF30" i="1"/>
  <c r="AH30" i="1"/>
  <c r="AA75" i="7"/>
  <c r="AC75" i="7"/>
  <c r="AE75" i="7"/>
  <c r="AG78" i="7"/>
  <c r="AA75" i="8"/>
  <c r="AC75" i="8"/>
  <c r="AE75" i="8"/>
  <c r="AG78" i="8"/>
  <c r="AA75" i="1"/>
  <c r="AC75" i="1"/>
  <c r="AE75" i="1"/>
  <c r="AG78" i="1"/>
  <c r="AE6" i="12"/>
  <c r="M12" i="12"/>
  <c r="AE12" i="12"/>
  <c r="M13" i="12"/>
  <c r="AE13" i="12"/>
  <c r="M14" i="12"/>
  <c r="AE14" i="12"/>
  <c r="M15" i="12"/>
  <c r="AE15" i="12"/>
  <c r="AE26" i="12"/>
  <c r="M27" i="12"/>
  <c r="AE27" i="12"/>
  <c r="M28" i="12"/>
  <c r="AE28" i="12"/>
  <c r="M29" i="12"/>
  <c r="AE29" i="12"/>
  <c r="Y7" i="12"/>
  <c r="Y8" i="12"/>
  <c r="AA6" i="12"/>
  <c r="AA12" i="12"/>
  <c r="AA13" i="12"/>
  <c r="AA14" i="12"/>
  <c r="AA15" i="12"/>
  <c r="AA26" i="12"/>
  <c r="AA27" i="12"/>
  <c r="AA28" i="12"/>
  <c r="AA29" i="12"/>
  <c r="AA8" i="12"/>
  <c r="AC6" i="12"/>
  <c r="AC12" i="12"/>
  <c r="AC13" i="12"/>
  <c r="AC14" i="12"/>
  <c r="AC15" i="12"/>
  <c r="AC26" i="12"/>
  <c r="AC27" i="12"/>
  <c r="AC28" i="12"/>
  <c r="AC29" i="12"/>
  <c r="Y9" i="12"/>
  <c r="AA9" i="12"/>
  <c r="Y10" i="12"/>
  <c r="AA10" i="12"/>
  <c r="Y11" i="12"/>
  <c r="AA11" i="12"/>
  <c r="AC8" i="12"/>
  <c r="AC9" i="12"/>
  <c r="AC10" i="12"/>
  <c r="AC11" i="12"/>
  <c r="AE8" i="12"/>
  <c r="AE9" i="12"/>
  <c r="AE10" i="12"/>
  <c r="AE11" i="12"/>
  <c r="J119" i="12"/>
  <c r="J124" i="12"/>
  <c r="J70" i="12"/>
  <c r="AA70" i="12"/>
  <c r="J39" i="12"/>
  <c r="Z8" i="12"/>
  <c r="Z39" i="12"/>
  <c r="AA39" i="12"/>
  <c r="J40" i="12"/>
  <c r="Z9" i="12"/>
  <c r="Z40" i="12"/>
  <c r="AA40" i="12"/>
  <c r="J41" i="12"/>
  <c r="Z11" i="12"/>
  <c r="Z41" i="12"/>
  <c r="AA41" i="12"/>
  <c r="J42" i="12"/>
  <c r="AA42" i="12"/>
  <c r="J43" i="12"/>
  <c r="AA43" i="12"/>
  <c r="J44" i="12"/>
  <c r="AA44" i="12"/>
  <c r="J45" i="12"/>
  <c r="AA45" i="12"/>
  <c r="J46" i="12"/>
  <c r="AA46" i="12"/>
  <c r="J47" i="12"/>
  <c r="AA47" i="12"/>
  <c r="J48" i="12"/>
  <c r="AA48" i="12"/>
  <c r="J49" i="12"/>
  <c r="AA49" i="12"/>
  <c r="J50" i="12"/>
  <c r="AA50" i="12"/>
  <c r="J51" i="12"/>
  <c r="AA51" i="12"/>
  <c r="J37" i="12"/>
  <c r="J38" i="12"/>
  <c r="AA37" i="12"/>
  <c r="AA38" i="12"/>
  <c r="AA65" i="12"/>
  <c r="AG6" i="12"/>
  <c r="Z7" i="12"/>
  <c r="AB7" i="12"/>
  <c r="AD7" i="12"/>
  <c r="AF7" i="12"/>
  <c r="AG7" i="12"/>
  <c r="AB8" i="12"/>
  <c r="AD8" i="12"/>
  <c r="AF8" i="12"/>
  <c r="AG8" i="12"/>
  <c r="AB9" i="12"/>
  <c r="AD9" i="12"/>
  <c r="AF9" i="12"/>
  <c r="AG9" i="12"/>
  <c r="Z10" i="12"/>
  <c r="AB10" i="12"/>
  <c r="AD10" i="12"/>
  <c r="AF10" i="12"/>
  <c r="AG10" i="12"/>
  <c r="AB11" i="12"/>
  <c r="AD11" i="12"/>
  <c r="AF11" i="12"/>
  <c r="AG11" i="12"/>
  <c r="AG12" i="12"/>
  <c r="AG13" i="12"/>
  <c r="AG14" i="12"/>
  <c r="AG15" i="12"/>
  <c r="AG26" i="12"/>
  <c r="AG27" i="12"/>
  <c r="AG28" i="12"/>
  <c r="AG29" i="12"/>
  <c r="Z37" i="12"/>
  <c r="AB37" i="12"/>
  <c r="AD37" i="12"/>
  <c r="AF37" i="12"/>
  <c r="AG37" i="12"/>
  <c r="Z38" i="12"/>
  <c r="AC70" i="12"/>
  <c r="AB39" i="12"/>
  <c r="AC39" i="12"/>
  <c r="AB40" i="12"/>
  <c r="AC40" i="12"/>
  <c r="AB41" i="12"/>
  <c r="AC41" i="12"/>
  <c r="AC42" i="12"/>
  <c r="AC43" i="12"/>
  <c r="AC44" i="12"/>
  <c r="AC45" i="12"/>
  <c r="AC46" i="12"/>
  <c r="AC47" i="12"/>
  <c r="AC48" i="12"/>
  <c r="AC49" i="12"/>
  <c r="AC50" i="12"/>
  <c r="AC51" i="12"/>
  <c r="AC38" i="12"/>
  <c r="AB38" i="12"/>
  <c r="AE70" i="12"/>
  <c r="AD39" i="12"/>
  <c r="AE39" i="12"/>
  <c r="AD40" i="12"/>
  <c r="AE40" i="12"/>
  <c r="AD41" i="12"/>
  <c r="AE41" i="12"/>
  <c r="AE42" i="12"/>
  <c r="AE43" i="12"/>
  <c r="AE44" i="12"/>
  <c r="AE45" i="12"/>
  <c r="AE46" i="12"/>
  <c r="AE47" i="12"/>
  <c r="AE48" i="12"/>
  <c r="AE49" i="12"/>
  <c r="AE50" i="12"/>
  <c r="AE51" i="12"/>
  <c r="AC37" i="12"/>
  <c r="AE38" i="12"/>
  <c r="AD38" i="12"/>
  <c r="AF38" i="12"/>
  <c r="AG38" i="12"/>
  <c r="AF39" i="12"/>
  <c r="AG39" i="12"/>
  <c r="AF40" i="12"/>
  <c r="AG40" i="12"/>
  <c r="AF41" i="12"/>
  <c r="AG41" i="12"/>
  <c r="AG42" i="12"/>
  <c r="AG43" i="12"/>
  <c r="AG44" i="12"/>
  <c r="AG45" i="12"/>
  <c r="AG46" i="12"/>
  <c r="AG47" i="12"/>
  <c r="AG48" i="12"/>
  <c r="AG49" i="12"/>
  <c r="AG50" i="12"/>
  <c r="AG51" i="12"/>
  <c r="AG65" i="12"/>
  <c r="AG70" i="12"/>
  <c r="J125" i="12"/>
  <c r="J128" i="12"/>
  <c r="J126" i="12"/>
  <c r="J127" i="12"/>
  <c r="J130" i="12"/>
  <c r="J129" i="12"/>
  <c r="J75" i="12"/>
  <c r="AA79" i="12"/>
  <c r="AA30" i="12"/>
  <c r="AA74" i="12"/>
  <c r="AC65" i="12"/>
  <c r="AC79" i="12"/>
  <c r="AC30" i="12"/>
  <c r="AC74" i="12"/>
  <c r="AE37" i="12"/>
  <c r="AE65" i="12"/>
  <c r="AE79" i="12"/>
  <c r="AE30" i="12"/>
  <c r="AE32" i="12"/>
  <c r="Y6" i="12"/>
  <c r="Y12" i="12"/>
  <c r="Y13" i="12"/>
  <c r="Y14" i="12"/>
  <c r="Y15" i="12"/>
  <c r="Y26" i="12"/>
  <c r="Y27" i="12"/>
  <c r="Y28" i="12"/>
  <c r="Y29" i="12"/>
  <c r="M30" i="12"/>
  <c r="Y30" i="12"/>
  <c r="M31" i="12"/>
  <c r="Y31" i="12"/>
  <c r="Y32" i="12"/>
  <c r="AE31" i="12"/>
  <c r="AE77" i="12"/>
  <c r="AE74" i="12"/>
  <c r="AG79" i="12"/>
  <c r="AG30" i="12"/>
  <c r="AG32" i="12"/>
  <c r="AG31" i="12"/>
  <c r="AG77" i="12"/>
  <c r="AK77" i="12"/>
  <c r="AA32" i="12"/>
  <c r="AA31" i="12"/>
  <c r="AA77" i="12"/>
  <c r="AC32" i="12"/>
  <c r="AC31" i="12"/>
  <c r="AC77" i="12"/>
  <c r="AI77" i="12"/>
  <c r="AK6" i="12"/>
  <c r="AK7" i="12"/>
  <c r="AK8" i="12"/>
  <c r="AK9" i="12"/>
  <c r="AK10" i="12"/>
  <c r="AK11" i="12"/>
  <c r="AK12" i="12"/>
  <c r="AK13" i="12"/>
  <c r="AK14" i="12"/>
  <c r="AK15" i="12"/>
  <c r="AK26" i="12"/>
  <c r="AK27" i="12"/>
  <c r="AK28" i="12"/>
  <c r="AK29" i="12"/>
  <c r="AK30" i="12"/>
  <c r="AK31" i="12"/>
  <c r="AK32" i="12"/>
  <c r="AJ77" i="7"/>
  <c r="AJ77" i="8"/>
  <c r="AI31" i="12"/>
  <c r="AE78" i="8"/>
  <c r="AA76" i="12"/>
  <c r="AC76" i="12"/>
  <c r="AJ76" i="12"/>
  <c r="AJ70" i="12"/>
  <c r="AJ74" i="12"/>
  <c r="AJ75" i="12"/>
  <c r="AE76" i="12"/>
  <c r="AG76" i="12"/>
  <c r="AK76" i="12"/>
  <c r="AK70" i="12"/>
  <c r="AG74" i="12"/>
  <c r="AK74" i="12"/>
  <c r="AK75" i="12"/>
  <c r="AI76" i="12"/>
  <c r="AI70" i="12"/>
  <c r="AI74" i="12"/>
  <c r="AI75" i="12"/>
  <c r="AE78" i="7"/>
  <c r="AJ77" i="1"/>
  <c r="AJ6" i="8"/>
  <c r="AJ8" i="8"/>
  <c r="AJ9" i="8"/>
  <c r="AJ10" i="8"/>
  <c r="AJ11" i="8"/>
  <c r="AJ12" i="8"/>
  <c r="AJ13" i="8"/>
  <c r="AJ14" i="8"/>
  <c r="AJ15" i="8"/>
  <c r="AJ16" i="8"/>
  <c r="AJ17" i="8"/>
  <c r="AJ26" i="8"/>
  <c r="AJ27" i="8"/>
  <c r="AJ28" i="8"/>
  <c r="AJ29" i="8"/>
  <c r="AJ30" i="8"/>
  <c r="AJ31" i="8"/>
  <c r="AJ32" i="8"/>
  <c r="AE78" i="1"/>
  <c r="AJ6" i="7"/>
  <c r="AJ8" i="7"/>
  <c r="AJ9" i="7"/>
  <c r="AJ10" i="7"/>
  <c r="AJ11" i="7"/>
  <c r="AJ12" i="7"/>
  <c r="AJ13" i="7"/>
  <c r="AJ14" i="7"/>
  <c r="AJ15" i="7"/>
  <c r="AJ16" i="7"/>
  <c r="AJ17" i="7"/>
  <c r="AJ26" i="7"/>
  <c r="AJ27" i="7"/>
  <c r="AJ28" i="7"/>
  <c r="AJ29" i="7"/>
  <c r="AJ30" i="7"/>
  <c r="AJ31" i="7"/>
  <c r="AJ32" i="7"/>
  <c r="AI30" i="12"/>
  <c r="Z30" i="12"/>
  <c r="AB30" i="12"/>
  <c r="AD30" i="12"/>
  <c r="AF30" i="12"/>
  <c r="AH30" i="12"/>
  <c r="AA75" i="12"/>
  <c r="AC75" i="12"/>
  <c r="AE75" i="12"/>
  <c r="AG78" i="12"/>
  <c r="AJ6" i="1"/>
  <c r="AJ8" i="1"/>
  <c r="AJ9" i="1"/>
  <c r="AJ10" i="1"/>
  <c r="AJ11" i="1"/>
  <c r="AJ12" i="1"/>
  <c r="AJ13" i="1"/>
  <c r="AJ14" i="1"/>
  <c r="AJ15" i="1"/>
  <c r="AJ16" i="1"/>
  <c r="AJ17" i="1"/>
  <c r="AJ26" i="1"/>
  <c r="AJ27" i="1"/>
  <c r="AJ28" i="1"/>
  <c r="AJ29" i="1"/>
  <c r="AJ30" i="1"/>
  <c r="AJ31" i="1"/>
  <c r="AJ32" i="1"/>
  <c r="AC78" i="7"/>
  <c r="AC78" i="8"/>
  <c r="AJ77" i="12"/>
  <c r="AE78" i="12"/>
  <c r="AC78" i="1"/>
  <c r="AJ6" i="12"/>
  <c r="AJ8" i="12"/>
  <c r="AJ9" i="12"/>
  <c r="AJ10" i="12"/>
  <c r="AJ11" i="12"/>
  <c r="AJ12" i="12"/>
  <c r="AJ13" i="12"/>
  <c r="AJ14" i="12"/>
  <c r="AJ15" i="12"/>
  <c r="AJ26" i="12"/>
  <c r="AJ27" i="12"/>
  <c r="AJ28" i="12"/>
  <c r="AJ29" i="12"/>
  <c r="AJ30" i="12"/>
  <c r="AJ31" i="12"/>
  <c r="AJ32" i="12"/>
  <c r="AG75" i="8"/>
  <c r="AA78" i="8"/>
  <c r="AC78" i="12"/>
  <c r="AA78" i="7"/>
  <c r="AG75" i="7"/>
  <c r="AH37" i="7"/>
  <c r="AA78" i="1"/>
  <c r="AG75" i="1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8" i="7"/>
  <c r="AI59" i="7"/>
  <c r="AI60" i="7"/>
  <c r="AI61" i="7"/>
  <c r="AI62" i="7"/>
  <c r="AI63" i="7"/>
  <c r="AI64" i="7"/>
  <c r="AI65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8" i="7"/>
  <c r="AK59" i="7"/>
  <c r="AK60" i="7"/>
  <c r="AK61" i="7"/>
  <c r="AK62" i="7"/>
  <c r="AK63" i="7"/>
  <c r="AK64" i="7"/>
  <c r="AK65" i="7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8" i="8"/>
  <c r="AI59" i="8"/>
  <c r="AI60" i="8"/>
  <c r="AI61" i="8"/>
  <c r="AI62" i="8"/>
  <c r="AI63" i="8"/>
  <c r="AI64" i="8"/>
  <c r="AI65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8" i="8"/>
  <c r="AK59" i="8"/>
  <c r="AK60" i="8"/>
  <c r="AK61" i="8"/>
  <c r="AK62" i="8"/>
  <c r="AK63" i="8"/>
  <c r="AK64" i="8"/>
  <c r="AK65" i="8"/>
  <c r="AK37" i="12"/>
  <c r="AK38" i="12"/>
  <c r="AK39" i="12"/>
  <c r="AK40" i="12"/>
  <c r="AK41" i="12"/>
  <c r="AK42" i="12"/>
  <c r="AK43" i="12"/>
  <c r="AK44" i="12"/>
  <c r="AK45" i="12"/>
  <c r="AK46" i="12"/>
  <c r="AK47" i="12"/>
  <c r="AK48" i="12"/>
  <c r="AK49" i="12"/>
  <c r="AK50" i="12"/>
  <c r="AK51" i="12"/>
  <c r="AK65" i="12"/>
  <c r="AH37" i="8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5" i="1"/>
  <c r="AI56" i="1"/>
  <c r="AI57" i="1"/>
  <c r="AI58" i="1"/>
  <c r="AI59" i="1"/>
  <c r="AI60" i="1"/>
  <c r="AI61" i="1"/>
  <c r="AI62" i="1"/>
  <c r="AI63" i="1"/>
  <c r="AI64" i="1"/>
  <c r="AI65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5" i="1"/>
  <c r="AK56" i="1"/>
  <c r="AK57" i="1"/>
  <c r="AK58" i="1"/>
  <c r="AK59" i="1"/>
  <c r="AK60" i="1"/>
  <c r="AK61" i="1"/>
  <c r="AK62" i="1"/>
  <c r="AK63" i="1"/>
  <c r="AK64" i="1"/>
  <c r="AK65" i="1"/>
  <c r="AH37" i="1"/>
  <c r="AI37" i="12"/>
  <c r="AI38" i="12"/>
  <c r="AI39" i="12"/>
  <c r="AI40" i="12"/>
  <c r="AI41" i="12"/>
  <c r="AI42" i="12"/>
  <c r="AI43" i="12"/>
  <c r="AI44" i="12"/>
  <c r="AI45" i="12"/>
  <c r="AI46" i="12"/>
  <c r="AI47" i="12"/>
  <c r="AI48" i="12"/>
  <c r="AI49" i="12"/>
  <c r="AI50" i="12"/>
  <c r="AI51" i="12"/>
  <c r="AI65" i="12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8" i="7"/>
  <c r="AJ59" i="7"/>
  <c r="AJ60" i="7"/>
  <c r="AJ61" i="7"/>
  <c r="AJ62" i="7"/>
  <c r="AJ63" i="7"/>
  <c r="AJ64" i="7"/>
  <c r="AJ65" i="7"/>
  <c r="AH40" i="8"/>
  <c r="AH39" i="7"/>
  <c r="AG75" i="12"/>
  <c r="AA78" i="12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8" i="8"/>
  <c r="AJ59" i="8"/>
  <c r="AJ60" i="8"/>
  <c r="AJ61" i="8"/>
  <c r="AJ62" i="8"/>
  <c r="AJ63" i="8"/>
  <c r="AJ64" i="8"/>
  <c r="AJ65" i="8"/>
  <c r="AH39" i="12"/>
  <c r="AJ37" i="12"/>
  <c r="AJ38" i="12"/>
  <c r="AJ39" i="12"/>
  <c r="AJ40" i="12"/>
  <c r="AJ41" i="12"/>
  <c r="AJ42" i="12"/>
  <c r="AJ43" i="12"/>
  <c r="AJ44" i="12"/>
  <c r="AJ45" i="12"/>
  <c r="AJ46" i="12"/>
  <c r="AJ47" i="12"/>
  <c r="AJ48" i="12"/>
  <c r="AJ49" i="12"/>
  <c r="AJ50" i="12"/>
  <c r="AJ51" i="12"/>
  <c r="AJ65" i="12"/>
  <c r="AH39" i="8"/>
  <c r="AH8" i="7"/>
  <c r="AI8" i="12"/>
  <c r="AI8" i="8"/>
  <c r="AH40" i="7"/>
  <c r="AH8" i="12"/>
  <c r="AH40" i="1"/>
  <c r="AH39" i="1"/>
  <c r="AI9" i="8"/>
  <c r="AI8" i="7"/>
  <c r="AH9" i="8"/>
  <c r="AI9" i="7"/>
  <c r="AH8" i="8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5" i="1"/>
  <c r="AJ56" i="1"/>
  <c r="AJ57" i="1"/>
  <c r="AJ58" i="1"/>
  <c r="AJ59" i="1"/>
  <c r="AJ60" i="1"/>
  <c r="AJ61" i="1"/>
  <c r="AJ62" i="1"/>
  <c r="AJ63" i="1"/>
  <c r="AJ64" i="1"/>
  <c r="AJ65" i="1"/>
  <c r="AI9" i="1"/>
  <c r="AI10" i="1"/>
  <c r="AH9" i="7"/>
  <c r="AH10" i="1"/>
  <c r="AI8" i="1"/>
  <c r="AH8" i="1"/>
  <c r="AH9" i="1"/>
  <c r="AI11" i="8"/>
  <c r="M70" i="8"/>
  <c r="J73" i="8"/>
  <c r="M73" i="8"/>
  <c r="J74" i="8"/>
  <c r="M74" i="8"/>
  <c r="M75" i="8"/>
  <c r="M76" i="8"/>
  <c r="M129" i="8"/>
  <c r="AI10" i="12"/>
  <c r="AI11" i="12"/>
  <c r="AI9" i="12"/>
  <c r="AI10" i="8"/>
  <c r="AI11" i="7"/>
  <c r="M124" i="8"/>
  <c r="M130" i="8"/>
  <c r="J76" i="8"/>
  <c r="AH38" i="8"/>
  <c r="AI6" i="8"/>
  <c r="J131" i="8"/>
  <c r="J77" i="8"/>
  <c r="M77" i="8"/>
  <c r="N34" i="8"/>
  <c r="AH41" i="12"/>
  <c r="AI11" i="1"/>
  <c r="M70" i="12"/>
  <c r="J71" i="12"/>
  <c r="M71" i="12"/>
  <c r="J72" i="12"/>
  <c r="M72" i="12"/>
  <c r="J73" i="12"/>
  <c r="M73" i="12"/>
  <c r="J74" i="12"/>
  <c r="M74" i="12"/>
  <c r="M75" i="12"/>
  <c r="M76" i="12"/>
  <c r="AH41" i="7"/>
  <c r="AI10" i="7"/>
  <c r="M70" i="7"/>
  <c r="J71" i="7"/>
  <c r="M71" i="7"/>
  <c r="J72" i="7"/>
  <c r="M72" i="7"/>
  <c r="J73" i="7"/>
  <c r="M73" i="7"/>
  <c r="J74" i="7"/>
  <c r="M74" i="7"/>
  <c r="M75" i="7"/>
  <c r="M76" i="7"/>
  <c r="AH40" i="12"/>
  <c r="AH10" i="8"/>
  <c r="N31" i="8"/>
  <c r="AH41" i="8"/>
  <c r="I72" i="9"/>
  <c r="AI26" i="8"/>
  <c r="AI12" i="8"/>
  <c r="AI15" i="8"/>
  <c r="AI29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J53" i="8"/>
  <c r="M53" i="8"/>
  <c r="J54" i="8"/>
  <c r="M54" i="8"/>
  <c r="J55" i="8"/>
  <c r="M55" i="8"/>
  <c r="J56" i="8"/>
  <c r="M56" i="8"/>
  <c r="J57" i="8"/>
  <c r="M57" i="8"/>
  <c r="M58" i="8"/>
  <c r="M59" i="8"/>
  <c r="M60" i="8"/>
  <c r="M61" i="8"/>
  <c r="M62" i="8"/>
  <c r="M63" i="8"/>
  <c r="M64" i="8"/>
  <c r="M65" i="8"/>
  <c r="J65" i="8"/>
  <c r="AI28" i="8"/>
  <c r="I74" i="9"/>
  <c r="M119" i="8"/>
  <c r="AI16" i="8"/>
  <c r="AI27" i="8"/>
  <c r="AI17" i="8"/>
  <c r="AI14" i="8"/>
  <c r="M128" i="8"/>
  <c r="AI13" i="8"/>
  <c r="M70" i="1"/>
  <c r="J71" i="1"/>
  <c r="M71" i="1"/>
  <c r="J72" i="1"/>
  <c r="M72" i="1"/>
  <c r="J73" i="1"/>
  <c r="M73" i="1"/>
  <c r="J74" i="1"/>
  <c r="M74" i="1"/>
  <c r="M75" i="1"/>
  <c r="M76" i="1"/>
  <c r="M129" i="7"/>
  <c r="AI7" i="12"/>
  <c r="AI7" i="7"/>
  <c r="AH38" i="7"/>
  <c r="AH9" i="12"/>
  <c r="AH7" i="12"/>
  <c r="AH7" i="7"/>
  <c r="AI7" i="8"/>
  <c r="J131" i="12"/>
  <c r="J77" i="12"/>
  <c r="M77" i="12"/>
  <c r="N34" i="12"/>
  <c r="AH41" i="1"/>
  <c r="AH38" i="12"/>
  <c r="AH37" i="12"/>
  <c r="AH10" i="12"/>
  <c r="AH10" i="7"/>
  <c r="AH7" i="8"/>
  <c r="AH11" i="12"/>
  <c r="AH11" i="7"/>
  <c r="J131" i="1"/>
  <c r="J77" i="1"/>
  <c r="M77" i="1"/>
  <c r="N34" i="1"/>
  <c r="M109" i="8"/>
  <c r="I85" i="9"/>
  <c r="I78" i="9"/>
  <c r="M108" i="8"/>
  <c r="I82" i="9"/>
  <c r="I79" i="9"/>
  <c r="AH11" i="8"/>
  <c r="M110" i="8"/>
  <c r="M111" i="8"/>
  <c r="M112" i="8"/>
  <c r="M113" i="8"/>
  <c r="M114" i="8"/>
  <c r="M115" i="8"/>
  <c r="M116" i="8"/>
  <c r="M117" i="8"/>
  <c r="M118" i="8"/>
  <c r="I73" i="9"/>
  <c r="I83" i="9"/>
  <c r="I76" i="9"/>
  <c r="I80" i="9"/>
  <c r="I81" i="9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65" i="12"/>
  <c r="AH38" i="1"/>
  <c r="J131" i="7"/>
  <c r="J77" i="7"/>
  <c r="M77" i="7"/>
  <c r="N34" i="7"/>
  <c r="AI6" i="12"/>
  <c r="N31" i="12"/>
  <c r="AH7" i="1"/>
  <c r="AH11" i="1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J53" i="7"/>
  <c r="M53" i="7"/>
  <c r="J54" i="7"/>
  <c r="M54" i="7"/>
  <c r="J55" i="7"/>
  <c r="M55" i="7"/>
  <c r="J56" i="7"/>
  <c r="M56" i="7"/>
  <c r="J57" i="7"/>
  <c r="M57" i="7"/>
  <c r="M58" i="7"/>
  <c r="M59" i="7"/>
  <c r="M60" i="7"/>
  <c r="M61" i="7"/>
  <c r="M62" i="7"/>
  <c r="M63" i="7"/>
  <c r="M64" i="7"/>
  <c r="M65" i="7"/>
  <c r="M124" i="7"/>
  <c r="AI7" i="1"/>
  <c r="M130" i="7"/>
  <c r="J76" i="7"/>
  <c r="J76" i="12"/>
  <c r="AI6" i="7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J50" i="1"/>
  <c r="M50" i="1"/>
  <c r="J51" i="1"/>
  <c r="M51" i="1"/>
  <c r="J52" i="1"/>
  <c r="M52" i="1"/>
  <c r="J53" i="1"/>
  <c r="M53" i="1"/>
  <c r="J54" i="1"/>
  <c r="M54" i="1"/>
  <c r="M55" i="1"/>
  <c r="M56" i="1"/>
  <c r="M57" i="1"/>
  <c r="M58" i="1"/>
  <c r="M59" i="1"/>
  <c r="M60" i="1"/>
  <c r="M61" i="1"/>
  <c r="M62" i="1"/>
  <c r="M63" i="1"/>
  <c r="M64" i="1"/>
  <c r="M65" i="1"/>
  <c r="F79" i="9"/>
  <c r="F73" i="9"/>
  <c r="AI16" i="7"/>
  <c r="AI6" i="1"/>
  <c r="AI12" i="12"/>
  <c r="F83" i="9"/>
  <c r="F74" i="9"/>
  <c r="H74" i="9"/>
  <c r="H83" i="9"/>
  <c r="M119" i="12"/>
  <c r="AI14" i="12"/>
  <c r="AI14" i="7"/>
  <c r="AI28" i="12"/>
  <c r="AI17" i="7"/>
  <c r="J65" i="7"/>
  <c r="F72" i="9"/>
  <c r="AI26" i="7"/>
  <c r="AI29" i="7"/>
  <c r="AI28" i="7"/>
  <c r="AI27" i="7"/>
  <c r="H76" i="9"/>
  <c r="H79" i="9"/>
  <c r="F76" i="9"/>
  <c r="AI26" i="12"/>
  <c r="M128" i="7"/>
  <c r="J76" i="1"/>
  <c r="AI13" i="12"/>
  <c r="H72" i="9"/>
  <c r="AI15" i="12"/>
  <c r="AI15" i="7"/>
  <c r="AI12" i="7"/>
  <c r="AI13" i="7"/>
  <c r="N31" i="7"/>
  <c r="M119" i="7"/>
  <c r="AI27" i="12"/>
  <c r="J65" i="12"/>
  <c r="H78" i="9"/>
  <c r="M108" i="7"/>
  <c r="M109" i="7"/>
  <c r="M110" i="7"/>
  <c r="M111" i="7"/>
  <c r="M112" i="7"/>
  <c r="M113" i="7"/>
  <c r="M114" i="7"/>
  <c r="M115" i="7"/>
  <c r="M116" i="7"/>
  <c r="M117" i="7"/>
  <c r="M118" i="7"/>
  <c r="H73" i="9"/>
  <c r="F78" i="9"/>
  <c r="M108" i="1"/>
  <c r="M109" i="1"/>
  <c r="M110" i="1"/>
  <c r="M111" i="1"/>
  <c r="M112" i="1"/>
  <c r="M113" i="1"/>
  <c r="M114" i="1"/>
  <c r="M115" i="1"/>
  <c r="M116" i="1"/>
  <c r="M117" i="1"/>
  <c r="M118" i="1"/>
  <c r="G73" i="9"/>
  <c r="AI17" i="1"/>
  <c r="J65" i="1"/>
  <c r="AI27" i="1"/>
  <c r="AI26" i="1"/>
  <c r="N31" i="1"/>
  <c r="L131" i="8"/>
  <c r="L77" i="8"/>
  <c r="AI13" i="1"/>
  <c r="AI12" i="1"/>
  <c r="AI29" i="12"/>
  <c r="H85" i="9"/>
  <c r="M119" i="1"/>
  <c r="H82" i="9"/>
  <c r="AI29" i="1"/>
  <c r="AI14" i="1"/>
  <c r="G79" i="9"/>
  <c r="AI15" i="1"/>
  <c r="G74" i="9"/>
  <c r="H81" i="9"/>
  <c r="H80" i="9"/>
  <c r="G78" i="9"/>
  <c r="AI28" i="1"/>
  <c r="G72" i="9"/>
  <c r="G76" i="9"/>
  <c r="G83" i="9"/>
  <c r="L131" i="12"/>
  <c r="L77" i="12"/>
  <c r="AI16" i="1"/>
  <c r="G80" i="9"/>
  <c r="L131" i="7"/>
  <c r="L77" i="7"/>
  <c r="G85" i="9"/>
  <c r="G81" i="9"/>
  <c r="G82" i="9"/>
  <c r="L131" i="1"/>
  <c r="L77" i="1"/>
  <c r="I77" i="8"/>
  <c r="I87" i="9"/>
  <c r="I77" i="12"/>
  <c r="H87" i="9"/>
  <c r="I77" i="1"/>
  <c r="I77" i="7"/>
  <c r="G87" i="9"/>
  <c r="M125" i="8"/>
  <c r="M125" i="7"/>
  <c r="F88" i="9"/>
  <c r="F98" i="9"/>
  <c r="G88" i="9"/>
  <c r="G98" i="9"/>
  <c r="H88" i="9"/>
  <c r="H98" i="9"/>
  <c r="I88" i="9"/>
  <c r="I98" i="9"/>
  <c r="F99" i="9"/>
  <c r="G99" i="9"/>
  <c r="H99" i="9"/>
  <c r="I99" i="9"/>
  <c r="G100" i="9"/>
  <c r="H100" i="9"/>
  <c r="I100" i="9"/>
  <c r="F101" i="9"/>
  <c r="G101" i="9"/>
  <c r="H101" i="9"/>
  <c r="I101" i="9"/>
  <c r="F100" i="9"/>
  <c r="M124" i="1"/>
  <c r="M125" i="1"/>
  <c r="M128" i="1"/>
  <c r="M129" i="1"/>
  <c r="M130" i="1"/>
  <c r="M127" i="1"/>
  <c r="M126" i="1"/>
  <c r="M124" i="12"/>
  <c r="M125" i="12"/>
  <c r="M128" i="12"/>
  <c r="M129" i="12"/>
  <c r="M130" i="12"/>
  <c r="J72" i="8"/>
  <c r="J71" i="8"/>
  <c r="M127" i="12"/>
  <c r="M126" i="12"/>
  <c r="M127" i="7"/>
  <c r="M126" i="7"/>
  <c r="M127" i="8"/>
  <c r="M126" i="8"/>
  <c r="M131" i="8"/>
  <c r="M131" i="7"/>
  <c r="M131" i="1"/>
  <c r="M131" i="12"/>
</calcChain>
</file>

<file path=xl/comments1.xml><?xml version="1.0" encoding="utf-8"?>
<comments xmlns="http://schemas.openxmlformats.org/spreadsheetml/2006/main">
  <authors>
    <author>Mark Lawrence</author>
  </authors>
  <commentList>
    <comment ref="E30" authorId="0">
      <text>
        <r>
          <rPr>
            <sz val="8"/>
            <color indexed="81"/>
            <rFont val="Tahoma"/>
            <family val="2"/>
          </rPr>
          <t xml:space="preserve">This cell may be used to specify a problem of physical access to food markets. It is locked as it is rarely used.
</t>
        </r>
      </text>
    </comment>
  </commentList>
</comments>
</file>

<file path=xl/sharedStrings.xml><?xml version="1.0" encoding="utf-8"?>
<sst xmlns="http://schemas.openxmlformats.org/spreadsheetml/2006/main" count="874" uniqueCount="145">
  <si>
    <t>Spreadsheet prepared by The Food Economy Group, 2003</t>
  </si>
  <si>
    <t>BASELINE ACCESS</t>
  </si>
  <si>
    <t>PROBLEM SPECIFICATION</t>
  </si>
  <si>
    <t>RESPONSE</t>
  </si>
  <si>
    <t>SUMMARY</t>
  </si>
  <si>
    <t>Sources of Food : Poor HHs</t>
  </si>
  <si>
    <t>Graph Titles</t>
  </si>
  <si>
    <t>Baseline</t>
  </si>
  <si>
    <t>Expand</t>
  </si>
  <si>
    <t>Max.</t>
  </si>
  <si>
    <t>Problem</t>
  </si>
  <si>
    <t>Food Intake</t>
  </si>
  <si>
    <t>Con.prob</t>
  </si>
  <si>
    <t>Max.curr</t>
  </si>
  <si>
    <t>Curr.</t>
  </si>
  <si>
    <t>Initial</t>
  </si>
  <si>
    <t>Access</t>
  </si>
  <si>
    <t>-ability</t>
  </si>
  <si>
    <t>%norm</t>
  </si>
  <si>
    <t>Deficit</t>
  </si>
  <si>
    <t>Initial Deficit</t>
  </si>
  <si>
    <t>baseline:</t>
  </si>
  <si>
    <t>Response</t>
  </si>
  <si>
    <t>for analysis:</t>
  </si>
  <si>
    <t>total</t>
  </si>
  <si>
    <t>adj.fact =</t>
  </si>
  <si>
    <t>Income : Poor HHs</t>
  </si>
  <si>
    <t>% of baseline income</t>
  </si>
  <si>
    <t>Comm.</t>
  </si>
  <si>
    <t>Staple</t>
  </si>
  <si>
    <t>Cash</t>
  </si>
  <si>
    <t>Price</t>
  </si>
  <si>
    <t>total:</t>
  </si>
  <si>
    <t>Expenditure : Poor HHs</t>
  </si>
  <si>
    <t>% of baseline expenditure</t>
  </si>
  <si>
    <t>Expend</t>
  </si>
  <si>
    <t>exp. deficit</t>
  </si>
  <si>
    <t>Cost of staple</t>
  </si>
  <si>
    <t>name of staple</t>
  </si>
  <si>
    <t>kg pppd</t>
  </si>
  <si>
    <t>HH size</t>
  </si>
  <si>
    <t>cost per kg</t>
  </si>
  <si>
    <t>cost of staple</t>
  </si>
  <si>
    <t>Exchange rate ($1 = amount of local currency)</t>
  </si>
  <si>
    <t>%food equivalents</t>
  </si>
  <si>
    <t>,</t>
  </si>
  <si>
    <t>Sources of Food : Middle HHs</t>
  </si>
  <si>
    <t>Income : Middle HHs</t>
  </si>
  <si>
    <t>Expenditure : Middle HHs</t>
  </si>
  <si>
    <t>Sources of Food : Better-off HHs</t>
  </si>
  <si>
    <t>Income : Better-off HHs</t>
  </si>
  <si>
    <t>Expenditure : Better-off HHs</t>
  </si>
  <si>
    <t>Sources of Food : Very Poor HHs</t>
  </si>
  <si>
    <t>Income : Very Poor HHs</t>
  </si>
  <si>
    <t>Expenditure : Very Poor HHs</t>
  </si>
  <si>
    <t>other</t>
  </si>
  <si>
    <t>Purchase - staple</t>
  </si>
  <si>
    <t>food deficit</t>
  </si>
  <si>
    <t>MAX</t>
  </si>
  <si>
    <t>1st avail?</t>
  </si>
  <si>
    <t>VALUES</t>
  </si>
  <si>
    <t xml:space="preserve">(curr acc. </t>
  </si>
  <si>
    <t>× 4)</t>
  </si>
  <si>
    <t>Max.staple</t>
  </si>
  <si>
    <t>Staple Price fluctuation</t>
  </si>
  <si>
    <t>Average</t>
  </si>
  <si>
    <t>cost per kg each season</t>
  </si>
  <si>
    <t>Quarter</t>
  </si>
  <si>
    <t>Total Income Graph</t>
  </si>
  <si>
    <t>Summary</t>
  </si>
  <si>
    <t>Init Def</t>
  </si>
  <si>
    <t>Own crops Consumed</t>
  </si>
  <si>
    <t>Own crops sold</t>
  </si>
  <si>
    <t>Animal products consumed</t>
  </si>
  <si>
    <t>Animal products sold</t>
  </si>
  <si>
    <t>Animals sold</t>
  </si>
  <si>
    <t>Labour - casual</t>
  </si>
  <si>
    <t>Labour - formal emp</t>
  </si>
  <si>
    <t>Self - employment</t>
  </si>
  <si>
    <t>Food transfer - official</t>
  </si>
  <si>
    <t>Food transfer - gifts</t>
  </si>
  <si>
    <t>Cash transfer - official</t>
  </si>
  <si>
    <t>Cash transfer - gifts</t>
  </si>
  <si>
    <t>Other</t>
  </si>
  <si>
    <t>Survival deficit - % min cal</t>
  </si>
  <si>
    <t>Livelihoods Threshold</t>
  </si>
  <si>
    <t>Sur def-CASH</t>
  </si>
  <si>
    <t>Liv def-Cash</t>
  </si>
  <si>
    <t>Baseline: v poor</t>
  </si>
  <si>
    <t>Baseline: poor</t>
  </si>
  <si>
    <t>Baseline: middle</t>
  </si>
  <si>
    <t>Baseline: b-off</t>
  </si>
  <si>
    <t>Current: v poor</t>
  </si>
  <si>
    <t>Current: poor</t>
  </si>
  <si>
    <t>Current: Middle</t>
  </si>
  <si>
    <t>Current: b-off</t>
  </si>
  <si>
    <t>Poor</t>
  </si>
  <si>
    <t>Very Poor</t>
  </si>
  <si>
    <t>Middle</t>
  </si>
  <si>
    <t>Better-off</t>
  </si>
  <si>
    <t>TOTAL</t>
  </si>
  <si>
    <t>Survival Threshold</t>
  </si>
  <si>
    <t>ME Cash</t>
  </si>
  <si>
    <t>Carry over brought in</t>
  </si>
  <si>
    <t>Carry Out</t>
  </si>
  <si>
    <t>Apr-Jun</t>
  </si>
  <si>
    <t>Jul-Sep</t>
  </si>
  <si>
    <t>Oct-Dec</t>
  </si>
  <si>
    <t>Jan-Mar</t>
  </si>
  <si>
    <t>Q1</t>
  </si>
  <si>
    <t>Q2</t>
  </si>
  <si>
    <t>Q3</t>
  </si>
  <si>
    <t>Q4</t>
  </si>
  <si>
    <t>H1</t>
  </si>
  <si>
    <t>H2</t>
  </si>
  <si>
    <t>TOTAL INCOME</t>
  </si>
  <si>
    <t>Joining lines</t>
  </si>
  <si>
    <t>Gini coefficient = (Integral of 6th order polynomial from 0 to 1.00)/((0.5 * (max income - min income)) + min income)</t>
  </si>
  <si>
    <t>Denominator</t>
  </si>
  <si>
    <t>Gini coefficient =</t>
  </si>
  <si>
    <t>Numerator:</t>
  </si>
  <si>
    <t>National GC (02-03):</t>
  </si>
  <si>
    <t>Rural GC (02-03):</t>
  </si>
  <si>
    <t>min.non-staple+ess food contrib</t>
  </si>
  <si>
    <t>Wild foods consumed and sold</t>
  </si>
  <si>
    <t>Small business/petty trading</t>
  </si>
  <si>
    <r>
      <t xml:space="preserve">Labour - </t>
    </r>
    <r>
      <rPr>
        <i/>
        <sz val="10"/>
        <rFont val="Arial"/>
        <family val="2"/>
      </rPr>
      <t>Ipelegeng</t>
    </r>
  </si>
  <si>
    <t>Labour - public works</t>
  </si>
  <si>
    <r>
      <t>Labour - p</t>
    </r>
    <r>
      <rPr>
        <i/>
        <sz val="10"/>
        <rFont val="Arial"/>
        <family val="2"/>
      </rPr>
      <t>ublic works</t>
    </r>
  </si>
  <si>
    <r>
      <t>k</t>
    </r>
    <r>
      <rPr>
        <sz val="10"/>
        <rFont val="Arial"/>
        <family val="2"/>
      </rPr>
      <t>J</t>
    </r>
    <r>
      <rPr>
        <sz val="10"/>
        <rFont val="Arial"/>
        <family val="2"/>
      </rPr>
      <t>/day</t>
    </r>
  </si>
  <si>
    <t>cost of 8800 kJ for season</t>
  </si>
  <si>
    <t>fpl non-staple food</t>
  </si>
  <si>
    <t>lbpl</t>
  </si>
  <si>
    <t>ubpl</t>
  </si>
  <si>
    <t>resilience</t>
  </si>
  <si>
    <t>staple food</t>
  </si>
  <si>
    <t>cost of FPL (100% staple &amp; non-staple)</t>
  </si>
  <si>
    <t>Food Poverty line</t>
  </si>
  <si>
    <t>Lower Bound Poverty line</t>
  </si>
  <si>
    <t>Upper Bound Poverty line</t>
  </si>
  <si>
    <t>Resilience line</t>
  </si>
  <si>
    <t>FPL Deficit</t>
  </si>
  <si>
    <t>LBPL Deficit</t>
  </si>
  <si>
    <t>UBPL Deficit</t>
  </si>
  <si>
    <t>Resilience Deficit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</si>
</sst>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%"/>
    <numFmt numFmtId="165" formatCode="0.0"/>
    <numFmt numFmtId="166" formatCode="0.00%;[Red]&quot;Adjust!&quot;"/>
    <numFmt numFmtId="167" formatCode="[Red]0%;\(0%\)"/>
    <numFmt numFmtId="168" formatCode="[Red]0%;\(0%\);&quot;-&quot;"/>
    <numFmt numFmtId="169" formatCode="0.000"/>
    <numFmt numFmtId="170" formatCode="[Red]0.0%;\(0.0%\)"/>
    <numFmt numFmtId="171" formatCode="#,##0.000"/>
    <numFmt numFmtId="172" formatCode="0.0%;[Red]&quot;Adjust!&quot;"/>
  </numFmts>
  <fonts count="31" x14ac:knownFonts="1">
    <font>
      <sz val="12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u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10"/>
      <color theme="4" tint="-0.249977111117893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0"/>
      <color theme="6"/>
      <name val="Arial"/>
      <family val="2"/>
    </font>
    <font>
      <sz val="14"/>
      <name val="Helvetica Light"/>
    </font>
    <font>
      <sz val="12"/>
      <name val="Helvetica Light"/>
    </font>
    <font>
      <sz val="18"/>
      <name val="Helvetica Light"/>
    </font>
  </fonts>
  <fills count="11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2"/>
        <bgColor indexed="8"/>
      </patternFill>
    </fill>
    <fill>
      <patternFill patternType="solid">
        <fgColor indexed="13"/>
        <bgColor indexed="24"/>
      </patternFill>
    </fill>
    <fill>
      <patternFill patternType="solid">
        <fgColor indexed="13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0.249977111117893"/>
        <bgColor indexed="64"/>
      </patternFill>
    </fill>
  </fills>
  <borders count="35">
    <border>
      <left/>
      <right/>
      <top/>
      <bottom/>
      <diagonal/>
    </border>
    <border>
      <left/>
      <right/>
      <top style="thin">
        <color indexed="0"/>
      </top>
      <bottom style="double">
        <color indexed="0"/>
      </bottom>
      <diagonal/>
    </border>
    <border>
      <left/>
      <right/>
      <top/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/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0"/>
      </left>
      <right/>
      <top/>
      <bottom style="thin">
        <color indexed="0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56"/>
      </left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indexed="56"/>
      </right>
      <top style="thin">
        <color indexed="56"/>
      </top>
      <bottom style="medium">
        <color indexed="56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/>
      <right/>
      <top/>
      <bottom style="medium">
        <color auto="1"/>
      </bottom>
      <diagonal/>
    </border>
  </borders>
  <cellStyleXfs count="158">
    <xf numFmtId="0" fontId="0" fillId="0" borderId="0">
      <alignment vertical="top"/>
    </xf>
    <xf numFmtId="4" fontId="3" fillId="0" borderId="0" applyFont="0" applyFill="0" applyAlignment="0" applyProtection="0"/>
    <xf numFmtId="0" fontId="3" fillId="0" borderId="0" applyFont="0" applyFill="0" applyAlignment="0" applyProtection="0"/>
    <xf numFmtId="2" fontId="3" fillId="0" borderId="0" applyFont="0" applyFill="0" applyAlignment="0" applyProtection="0"/>
    <xf numFmtId="0" fontId="4" fillId="0" borderId="0" applyNumberFormat="0" applyFont="0" applyFill="0" applyAlignment="0" applyProtection="0"/>
    <xf numFmtId="0" fontId="5" fillId="0" borderId="0" applyNumberFormat="0" applyFont="0" applyFill="0" applyAlignment="0" applyProtection="0"/>
    <xf numFmtId="10" fontId="3" fillId="0" borderId="0" applyFont="0" applyFill="0" applyAlignment="0" applyProtection="0"/>
    <xf numFmtId="0" fontId="3" fillId="0" borderId="1" applyNumberFormat="0" applyFont="0" applyAlignment="0" applyProtection="0"/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</cellStyleXfs>
  <cellXfs count="267">
    <xf numFmtId="0" fontId="0" fillId="0" borderId="0" xfId="0" applyAlignment="1"/>
    <xf numFmtId="0" fontId="7" fillId="0" borderId="0" xfId="0" applyFont="1" applyBorder="1" applyProtection="1">
      <alignment vertical="top"/>
    </xf>
    <xf numFmtId="0" fontId="8" fillId="0" borderId="0" xfId="0" applyFont="1" applyBorder="1" applyAlignment="1" applyProtection="1"/>
    <xf numFmtId="0" fontId="9" fillId="0" borderId="0" xfId="0" applyFont="1" applyBorder="1" applyAlignment="1" applyProtection="1"/>
    <xf numFmtId="0" fontId="0" fillId="0" borderId="0" xfId="0" applyAlignment="1" applyProtection="1"/>
    <xf numFmtId="0" fontId="10" fillId="0" borderId="0" xfId="0" applyFont="1" applyBorder="1" applyAlignment="1" applyProtection="1"/>
    <xf numFmtId="0" fontId="2" fillId="0" borderId="0" xfId="0" applyFont="1" applyBorder="1" applyAlignment="1" applyProtection="1">
      <alignment horizontal="left"/>
    </xf>
    <xf numFmtId="0" fontId="11" fillId="0" borderId="2" xfId="0" applyFont="1" applyFill="1" applyBorder="1" applyAlignment="1" applyProtection="1"/>
    <xf numFmtId="0" fontId="7" fillId="0" borderId="0" xfId="0" applyFont="1" applyFill="1" applyProtection="1">
      <alignment vertical="top"/>
    </xf>
    <xf numFmtId="0" fontId="7" fillId="0" borderId="2" xfId="0" applyFont="1" applyFill="1" applyBorder="1" applyProtection="1">
      <alignment vertical="top"/>
    </xf>
    <xf numFmtId="0" fontId="8" fillId="0" borderId="3" xfId="0" applyFont="1" applyFill="1" applyBorder="1" applyAlignment="1" applyProtection="1"/>
    <xf numFmtId="0" fontId="8" fillId="0" borderId="2" xfId="0" applyFont="1" applyFill="1" applyBorder="1" applyAlignment="1" applyProtection="1"/>
    <xf numFmtId="0" fontId="0" fillId="0" borderId="3" xfId="0" applyFill="1" applyBorder="1" applyAlignment="1" applyProtection="1"/>
    <xf numFmtId="0" fontId="9" fillId="0" borderId="3" xfId="0" applyFont="1" applyFill="1" applyBorder="1" applyAlignment="1" applyProtection="1"/>
    <xf numFmtId="0" fontId="0" fillId="0" borderId="2" xfId="0" applyFill="1" applyBorder="1" applyAlignment="1" applyProtection="1"/>
    <xf numFmtId="9" fontId="6" fillId="0" borderId="0" xfId="0" applyNumberFormat="1" applyFont="1" applyBorder="1" applyProtection="1">
      <alignment vertical="top"/>
    </xf>
    <xf numFmtId="0" fontId="8" fillId="0" borderId="4" xfId="0" applyFont="1" applyFill="1" applyBorder="1" applyAlignment="1" applyProtection="1">
      <alignment horizontal="right"/>
    </xf>
    <xf numFmtId="0" fontId="0" fillId="0" borderId="4" xfId="0" applyFill="1" applyBorder="1" applyAlignment="1" applyProtection="1"/>
    <xf numFmtId="0" fontId="9" fillId="0" borderId="4" xfId="0" applyFont="1" applyFill="1" applyBorder="1" applyAlignment="1" applyProtection="1"/>
    <xf numFmtId="0" fontId="8" fillId="0" borderId="0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right"/>
    </xf>
    <xf numFmtId="9" fontId="8" fillId="0" borderId="0" xfId="0" applyNumberFormat="1" applyFont="1" applyBorder="1" applyAlignment="1" applyProtection="1"/>
    <xf numFmtId="9" fontId="8" fillId="0" borderId="0" xfId="0" applyNumberFormat="1" applyFont="1" applyBorder="1" applyAlignment="1" applyProtection="1">
      <alignment horizontal="right"/>
    </xf>
    <xf numFmtId="9" fontId="8" fillId="0" borderId="4" xfId="0" applyNumberFormat="1" applyFont="1" applyFill="1" applyBorder="1" applyAlignment="1" applyProtection="1"/>
    <xf numFmtId="9" fontId="0" fillId="0" borderId="0" xfId="0" applyNumberFormat="1" applyAlignment="1" applyProtection="1"/>
    <xf numFmtId="9" fontId="8" fillId="2" borderId="0" xfId="0" applyNumberFormat="1" applyFont="1" applyFill="1" applyBorder="1" applyAlignment="1" applyProtection="1">
      <protection locked="0"/>
    </xf>
    <xf numFmtId="1" fontId="8" fillId="0" borderId="5" xfId="0" applyNumberFormat="1" applyFont="1" applyFill="1" applyBorder="1" applyAlignment="1" applyProtection="1"/>
    <xf numFmtId="1" fontId="8" fillId="3" borderId="0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 applyProtection="1"/>
    <xf numFmtId="9" fontId="8" fillId="0" borderId="2" xfId="0" applyNumberFormat="1" applyFont="1" applyFill="1" applyBorder="1" applyAlignment="1" applyProtection="1">
      <alignment horizontal="right"/>
    </xf>
    <xf numFmtId="0" fontId="8" fillId="0" borderId="4" xfId="0" applyFont="1" applyFill="1" applyBorder="1" applyAlignment="1" applyProtection="1"/>
    <xf numFmtId="0" fontId="8" fillId="0" borderId="0" xfId="0" applyFont="1" applyFill="1" applyBorder="1" applyAlignment="1" applyProtection="1"/>
    <xf numFmtId="9" fontId="9" fillId="0" borderId="4" xfId="0" applyNumberFormat="1" applyFont="1" applyFill="1" applyBorder="1" applyAlignment="1" applyProtection="1"/>
    <xf numFmtId="0" fontId="8" fillId="0" borderId="6" xfId="0" applyFont="1" applyFill="1" applyBorder="1" applyAlignment="1" applyProtection="1"/>
    <xf numFmtId="0" fontId="8" fillId="0" borderId="7" xfId="0" applyFont="1" applyFill="1" applyBorder="1" applyAlignment="1" applyProtection="1"/>
    <xf numFmtId="0" fontId="8" fillId="0" borderId="8" xfId="0" applyFont="1" applyFill="1" applyBorder="1" applyAlignment="1" applyProtection="1"/>
    <xf numFmtId="0" fontId="8" fillId="0" borderId="9" xfId="0" applyFont="1" applyFill="1" applyBorder="1" applyAlignment="1" applyProtection="1">
      <alignment horizontal="right"/>
    </xf>
    <xf numFmtId="3" fontId="8" fillId="0" borderId="4" xfId="0" applyNumberFormat="1" applyFont="1" applyFill="1" applyBorder="1" applyAlignment="1" applyProtection="1"/>
    <xf numFmtId="3" fontId="8" fillId="0" borderId="0" xfId="0" applyNumberFormat="1" applyFont="1" applyBorder="1" applyAlignment="1" applyProtection="1"/>
    <xf numFmtId="9" fontId="8" fillId="0" borderId="9" xfId="0" applyNumberFormat="1" applyFont="1" applyFill="1" applyBorder="1" applyAlignment="1" applyProtection="1"/>
    <xf numFmtId="3" fontId="7" fillId="0" borderId="0" xfId="0" applyNumberFormat="1" applyFont="1" applyBorder="1" applyAlignment="1" applyProtection="1"/>
    <xf numFmtId="3" fontId="8" fillId="0" borderId="10" xfId="0" applyNumberFormat="1" applyFont="1" applyBorder="1" applyAlignment="1" applyProtection="1"/>
    <xf numFmtId="3" fontId="7" fillId="0" borderId="2" xfId="0" applyNumberFormat="1" applyFont="1" applyFill="1" applyBorder="1" applyProtection="1">
      <alignment vertical="top"/>
    </xf>
    <xf numFmtId="3" fontId="8" fillId="0" borderId="3" xfId="0" applyNumberFormat="1" applyFont="1" applyFill="1" applyBorder="1" applyAlignment="1" applyProtection="1"/>
    <xf numFmtId="0" fontId="8" fillId="0" borderId="11" xfId="0" applyFont="1" applyFill="1" applyBorder="1" applyAlignment="1" applyProtection="1"/>
    <xf numFmtId="3" fontId="7" fillId="0" borderId="0" xfId="0" applyNumberFormat="1" applyFont="1" applyBorder="1" applyProtection="1">
      <alignment vertical="top"/>
    </xf>
    <xf numFmtId="2" fontId="8" fillId="0" borderId="0" xfId="0" applyNumberFormat="1" applyFont="1" applyFill="1" applyBorder="1" applyAlignment="1" applyProtection="1"/>
    <xf numFmtId="2" fontId="8" fillId="0" borderId="4" xfId="0" applyNumberFormat="1" applyFont="1" applyFill="1" applyBorder="1" applyAlignment="1" applyProtection="1"/>
    <xf numFmtId="3" fontId="7" fillId="0" borderId="0" xfId="0" applyNumberFormat="1" applyFont="1" applyProtection="1">
      <alignment vertical="top"/>
    </xf>
    <xf numFmtId="3" fontId="8" fillId="0" borderId="4" xfId="0" applyNumberFormat="1" applyFont="1" applyFill="1" applyBorder="1" applyAlignment="1" applyProtection="1">
      <alignment horizontal="right"/>
    </xf>
    <xf numFmtId="3" fontId="8" fillId="0" borderId="10" xfId="0" applyNumberFormat="1" applyFont="1" applyFill="1" applyBorder="1" applyAlignment="1" applyProtection="1"/>
    <xf numFmtId="3" fontId="7" fillId="0" borderId="0" xfId="0" applyNumberFormat="1" applyFont="1" applyFill="1" applyBorder="1" applyProtection="1">
      <alignment vertical="top"/>
    </xf>
    <xf numFmtId="3" fontId="12" fillId="0" borderId="0" xfId="0" applyNumberFormat="1" applyFont="1" applyBorder="1" applyProtection="1">
      <alignment vertical="top"/>
    </xf>
    <xf numFmtId="0" fontId="7" fillId="0" borderId="2" xfId="0" applyFont="1" applyFill="1" applyBorder="1" applyAlignment="1" applyProtection="1"/>
    <xf numFmtId="9" fontId="6" fillId="0" borderId="0" xfId="0" applyNumberFormat="1" applyFont="1" applyBorder="1" applyAlignment="1" applyProtection="1"/>
    <xf numFmtId="0" fontId="7" fillId="0" borderId="0" xfId="0" applyFont="1" applyBorder="1" applyAlignment="1" applyProtection="1"/>
    <xf numFmtId="9" fontId="8" fillId="0" borderId="10" xfId="0" applyNumberFormat="1" applyFont="1" applyBorder="1" applyAlignment="1" applyProtection="1">
      <alignment horizontal="right"/>
    </xf>
    <xf numFmtId="0" fontId="0" fillId="0" borderId="12" xfId="0" applyBorder="1" applyAlignment="1" applyProtection="1"/>
    <xf numFmtId="0" fontId="7" fillId="0" borderId="0" xfId="0" applyFont="1" applyBorder="1" applyAlignment="1" applyProtection="1">
      <alignment horizontal="right"/>
    </xf>
    <xf numFmtId="9" fontId="7" fillId="0" borderId="0" xfId="0" applyNumberFormat="1" applyFont="1" applyFill="1" applyBorder="1" applyAlignment="1" applyProtection="1"/>
    <xf numFmtId="0" fontId="7" fillId="0" borderId="13" xfId="0" applyFont="1" applyFill="1" applyBorder="1" applyAlignment="1" applyProtection="1"/>
    <xf numFmtId="9" fontId="8" fillId="0" borderId="3" xfId="0" applyNumberFormat="1" applyFont="1" applyFill="1" applyBorder="1" applyAlignment="1" applyProtection="1"/>
    <xf numFmtId="9" fontId="8" fillId="0" borderId="14" xfId="0" applyNumberFormat="1" applyFont="1" applyFill="1" applyBorder="1" applyAlignment="1" applyProtection="1">
      <alignment horizontal="right"/>
    </xf>
    <xf numFmtId="0" fontId="7" fillId="0" borderId="0" xfId="0" applyFont="1" applyFill="1" applyBorder="1" applyAlignment="1" applyProtection="1"/>
    <xf numFmtId="9" fontId="7" fillId="0" borderId="0" xfId="0" applyNumberFormat="1" applyFont="1" applyAlignment="1" applyProtection="1"/>
    <xf numFmtId="0" fontId="0" fillId="0" borderId="14" xfId="0" applyFill="1" applyBorder="1" applyAlignment="1" applyProtection="1"/>
    <xf numFmtId="0" fontId="7" fillId="0" borderId="0" xfId="0" applyFont="1" applyAlignment="1" applyProtection="1"/>
    <xf numFmtId="2" fontId="8" fillId="0" borderId="0" xfId="0" applyNumberFormat="1" applyFont="1" applyBorder="1" applyAlignment="1" applyProtection="1"/>
    <xf numFmtId="1" fontId="8" fillId="0" borderId="0" xfId="0" applyNumberFormat="1" applyFont="1" applyBorder="1" applyAlignment="1" applyProtection="1"/>
    <xf numFmtId="0" fontId="13" fillId="0" borderId="0" xfId="0" applyFont="1" applyBorder="1" applyAlignment="1" applyProtection="1"/>
    <xf numFmtId="1" fontId="0" fillId="0" borderId="0" xfId="0" applyNumberFormat="1" applyAlignment="1" applyProtection="1"/>
    <xf numFmtId="2" fontId="0" fillId="0" borderId="0" xfId="0" applyNumberFormat="1" applyAlignment="1" applyProtection="1"/>
    <xf numFmtId="9" fontId="5" fillId="0" borderId="0" xfId="0" applyNumberFormat="1" applyFont="1" applyBorder="1" applyAlignment="1" applyProtection="1"/>
    <xf numFmtId="0" fontId="7" fillId="0" borderId="15" xfId="0" applyNumberFormat="1" applyFont="1" applyBorder="1" applyProtection="1">
      <alignment vertical="top"/>
    </xf>
    <xf numFmtId="9" fontId="8" fillId="0" borderId="0" xfId="0" applyNumberFormat="1" applyFont="1" applyFill="1" applyBorder="1" applyAlignment="1" applyProtection="1"/>
    <xf numFmtId="1" fontId="8" fillId="0" borderId="0" xfId="0" applyNumberFormat="1" applyFont="1" applyFill="1" applyBorder="1" applyAlignment="1" applyProtection="1"/>
    <xf numFmtId="9" fontId="7" fillId="0" borderId="0" xfId="0" applyNumberFormat="1" applyFont="1" applyBorder="1" applyProtection="1">
      <alignment vertical="top"/>
    </xf>
    <xf numFmtId="3" fontId="8" fillId="0" borderId="2" xfId="0" applyNumberFormat="1" applyFont="1" applyFill="1" applyBorder="1" applyAlignment="1" applyProtection="1"/>
    <xf numFmtId="3" fontId="0" fillId="0" borderId="0" xfId="0" applyNumberFormat="1" applyAlignment="1" applyProtection="1"/>
    <xf numFmtId="3" fontId="8" fillId="0" borderId="0" xfId="0" applyNumberFormat="1" applyFont="1" applyBorder="1" applyAlignment="1" applyProtection="1">
      <alignment horizontal="right"/>
    </xf>
    <xf numFmtId="3" fontId="8" fillId="0" borderId="0" xfId="0" applyNumberFormat="1" applyFont="1" applyFill="1" applyBorder="1" applyAlignment="1" applyProtection="1"/>
    <xf numFmtId="3" fontId="12" fillId="0" borderId="0" xfId="0" applyNumberFormat="1" applyFont="1" applyBorder="1" applyAlignment="1" applyProtection="1"/>
    <xf numFmtId="0" fontId="8" fillId="0" borderId="13" xfId="0" applyFont="1" applyFill="1" applyBorder="1" applyAlignment="1" applyProtection="1"/>
    <xf numFmtId="0" fontId="0" fillId="0" borderId="0" xfId="0" applyBorder="1" applyAlignment="1" applyProtection="1"/>
    <xf numFmtId="0" fontId="7" fillId="0" borderId="15" xfId="0" applyNumberFormat="1" applyFont="1" applyBorder="1" applyAlignment="1" applyProtection="1"/>
    <xf numFmtId="0" fontId="7" fillId="0" borderId="0" xfId="0" applyNumberFormat="1" applyFont="1" applyBorder="1" applyProtection="1">
      <alignment vertical="top"/>
    </xf>
    <xf numFmtId="0" fontId="0" fillId="0" borderId="16" xfId="0" applyBorder="1" applyAlignment="1"/>
    <xf numFmtId="0" fontId="0" fillId="0" borderId="17" xfId="0" applyBorder="1" applyAlignment="1"/>
    <xf numFmtId="9" fontId="14" fillId="0" borderId="16" xfId="0" applyNumberFormat="1" applyFont="1" applyBorder="1" applyAlignment="1">
      <alignment horizontal="center"/>
    </xf>
    <xf numFmtId="0" fontId="16" fillId="0" borderId="16" xfId="0" applyFont="1" applyBorder="1" applyAlignment="1"/>
    <xf numFmtId="9" fontId="14" fillId="0" borderId="16" xfId="0" applyNumberFormat="1" applyFont="1" applyBorder="1" applyAlignment="1">
      <alignment horizontal="left"/>
    </xf>
    <xf numFmtId="0" fontId="16" fillId="0" borderId="0" xfId="0" applyFont="1" applyAlignment="1"/>
    <xf numFmtId="9" fontId="7" fillId="0" borderId="18" xfId="0" applyNumberFormat="1" applyFont="1" applyBorder="1" applyAlignment="1" applyProtection="1"/>
    <xf numFmtId="9" fontId="7" fillId="4" borderId="0" xfId="0" applyNumberFormat="1" applyFont="1" applyFill="1" applyBorder="1" applyAlignment="1" applyProtection="1"/>
    <xf numFmtId="0" fontId="17" fillId="0" borderId="0" xfId="0" applyFont="1" applyAlignment="1" applyProtection="1"/>
    <xf numFmtId="9" fontId="7" fillId="0" borderId="4" xfId="0" applyNumberFormat="1" applyFont="1" applyFill="1" applyBorder="1" applyAlignment="1" applyProtection="1"/>
    <xf numFmtId="2" fontId="18" fillId="0" borderId="2" xfId="0" applyNumberFormat="1" applyFont="1" applyFill="1" applyBorder="1" applyAlignment="1" applyProtection="1"/>
    <xf numFmtId="2" fontId="18" fillId="0" borderId="3" xfId="0" applyNumberFormat="1" applyFont="1" applyFill="1" applyBorder="1" applyAlignment="1" applyProtection="1"/>
    <xf numFmtId="0" fontId="7" fillId="4" borderId="0" xfId="0" applyFont="1" applyFill="1" applyBorder="1" applyProtection="1">
      <alignment vertical="top"/>
    </xf>
    <xf numFmtId="3" fontId="8" fillId="5" borderId="10" xfId="0" applyNumberFormat="1" applyFont="1" applyFill="1" applyBorder="1" applyAlignment="1" applyProtection="1"/>
    <xf numFmtId="9" fontId="7" fillId="0" borderId="19" xfId="0" applyNumberFormat="1" applyFont="1" applyFill="1" applyBorder="1" applyAlignment="1" applyProtection="1"/>
    <xf numFmtId="9" fontId="7" fillId="0" borderId="5" xfId="0" applyNumberFormat="1" applyFont="1" applyFill="1" applyBorder="1" applyAlignment="1" applyProtection="1"/>
    <xf numFmtId="9" fontId="7" fillId="0" borderId="0" xfId="0" applyNumberFormat="1" applyFont="1" applyProtection="1">
      <alignment vertical="top"/>
    </xf>
    <xf numFmtId="3" fontId="8" fillId="0" borderId="15" xfId="0" applyNumberFormat="1" applyFont="1" applyBorder="1" applyAlignment="1" applyProtection="1"/>
    <xf numFmtId="2" fontId="7" fillId="0" borderId="15" xfId="0" applyNumberFormat="1" applyFont="1" applyFill="1" applyBorder="1" applyAlignment="1" applyProtection="1">
      <alignment horizontal="right"/>
    </xf>
    <xf numFmtId="9" fontId="7" fillId="0" borderId="5" xfId="0" applyNumberFormat="1" applyFont="1" applyFill="1" applyBorder="1" applyProtection="1">
      <alignment vertical="top"/>
    </xf>
    <xf numFmtId="2" fontId="8" fillId="0" borderId="15" xfId="0" applyNumberFormat="1" applyFont="1" applyBorder="1" applyAlignment="1" applyProtection="1"/>
    <xf numFmtId="9" fontId="0" fillId="0" borderId="0" xfId="0" applyNumberFormat="1" applyAlignment="1"/>
    <xf numFmtId="3" fontId="0" fillId="0" borderId="0" xfId="0" applyNumberFormat="1" applyAlignment="1"/>
    <xf numFmtId="0" fontId="7" fillId="0" borderId="0" xfId="0" applyFont="1" applyAlignment="1"/>
    <xf numFmtId="3" fontId="7" fillId="0" borderId="20" xfId="1" applyNumberFormat="1" applyFont="1" applyBorder="1"/>
    <xf numFmtId="3" fontId="7" fillId="0" borderId="0" xfId="0" applyNumberFormat="1" applyFont="1" applyAlignment="1"/>
    <xf numFmtId="1" fontId="7" fillId="0" borderId="21" xfId="0" applyNumberFormat="1" applyFont="1" applyBorder="1" applyAlignment="1"/>
    <xf numFmtId="0" fontId="7" fillId="0" borderId="22" xfId="0" applyFont="1" applyBorder="1" applyAlignment="1"/>
    <xf numFmtId="9" fontId="7" fillId="0" borderId="0" xfId="0" applyNumberFormat="1" applyFont="1" applyAlignment="1"/>
    <xf numFmtId="10" fontId="7" fillId="6" borderId="12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/>
    <xf numFmtId="0" fontId="7" fillId="0" borderId="23" xfId="0" applyFont="1" applyBorder="1" applyAlignment="1"/>
    <xf numFmtId="9" fontId="7" fillId="0" borderId="10" xfId="0" applyNumberFormat="1" applyFont="1" applyBorder="1" applyAlignment="1"/>
    <xf numFmtId="9" fontId="7" fillId="0" borderId="12" xfId="0" applyNumberFormat="1" applyFont="1" applyBorder="1" applyAlignment="1"/>
    <xf numFmtId="164" fontId="7" fillId="0" borderId="10" xfId="0" applyNumberFormat="1" applyFont="1" applyBorder="1" applyAlignment="1"/>
    <xf numFmtId="166" fontId="7" fillId="0" borderId="12" xfId="0" applyNumberFormat="1" applyFont="1" applyFill="1" applyBorder="1" applyAlignment="1" applyProtection="1"/>
    <xf numFmtId="10" fontId="7" fillId="0" borderId="0" xfId="0" applyNumberFormat="1" applyFont="1" applyBorder="1" applyAlignment="1"/>
    <xf numFmtId="0" fontId="7" fillId="7" borderId="23" xfId="0" applyFont="1" applyFill="1" applyBorder="1" applyAlignment="1" applyProtection="1">
      <protection locked="0"/>
    </xf>
    <xf numFmtId="10" fontId="7" fillId="0" borderId="12" xfId="6" applyNumberFormat="1" applyFont="1" applyFill="1" applyBorder="1" applyProtection="1"/>
    <xf numFmtId="0" fontId="7" fillId="0" borderId="0" xfId="0" applyFont="1" applyFill="1" applyBorder="1" applyAlignment="1" applyProtection="1">
      <alignment horizontal="right"/>
    </xf>
    <xf numFmtId="10" fontId="7" fillId="0" borderId="0" xfId="0" applyNumberFormat="1" applyFont="1" applyAlignment="1"/>
    <xf numFmtId="166" fontId="7" fillId="0" borderId="0" xfId="0" applyNumberFormat="1" applyFont="1" applyBorder="1" applyAlignment="1"/>
    <xf numFmtId="0" fontId="23" fillId="0" borderId="0" xfId="0" applyFont="1" applyAlignment="1">
      <alignment horizontal="right"/>
    </xf>
    <xf numFmtId="167" fontId="7" fillId="0" borderId="23" xfId="0" applyNumberFormat="1" applyFont="1" applyBorder="1" applyAlignment="1"/>
    <xf numFmtId="10" fontId="7" fillId="0" borderId="13" xfId="0" applyNumberFormat="1" applyFont="1" applyBorder="1" applyAlignment="1"/>
    <xf numFmtId="164" fontId="7" fillId="0" borderId="20" xfId="0" applyNumberFormat="1" applyFont="1" applyBorder="1" applyAlignment="1"/>
    <xf numFmtId="164" fontId="7" fillId="0" borderId="20" xfId="0" applyNumberFormat="1" applyFont="1" applyBorder="1" applyAlignment="1" applyProtection="1"/>
    <xf numFmtId="10" fontId="7" fillId="0" borderId="24" xfId="0" applyNumberFormat="1" applyFont="1" applyBorder="1" applyAlignment="1"/>
    <xf numFmtId="168" fontId="7" fillId="0" borderId="24" xfId="0" applyNumberFormat="1" applyFont="1" applyBorder="1" applyAlignment="1"/>
    <xf numFmtId="168" fontId="7" fillId="0" borderId="25" xfId="0" applyNumberFormat="1" applyFont="1" applyBorder="1" applyAlignment="1"/>
    <xf numFmtId="10" fontId="7" fillId="0" borderId="26" xfId="0" applyNumberFormat="1" applyFont="1" applyBorder="1" applyAlignment="1"/>
    <xf numFmtId="164" fontId="7" fillId="0" borderId="25" xfId="0" applyNumberFormat="1" applyFont="1" applyBorder="1" applyAlignment="1"/>
    <xf numFmtId="164" fontId="7" fillId="0" borderId="27" xfId="0" applyNumberFormat="1" applyFont="1" applyBorder="1" applyAlignment="1"/>
    <xf numFmtId="9" fontId="7" fillId="0" borderId="24" xfId="0" applyNumberFormat="1" applyFont="1" applyBorder="1" applyAlignment="1"/>
    <xf numFmtId="9" fontId="7" fillId="0" borderId="27" xfId="0" applyNumberFormat="1" applyFont="1" applyBorder="1" applyAlignment="1"/>
    <xf numFmtId="9" fontId="7" fillId="0" borderId="0" xfId="0" applyNumberFormat="1" applyFont="1" applyBorder="1" applyAlignment="1" applyProtection="1">
      <alignment horizontal="right"/>
    </xf>
    <xf numFmtId="0" fontId="7" fillId="0" borderId="28" xfId="0" applyFont="1" applyBorder="1" applyAlignment="1"/>
    <xf numFmtId="0" fontId="7" fillId="0" borderId="18" xfId="0" applyFont="1" applyBorder="1" applyAlignment="1"/>
    <xf numFmtId="0" fontId="7" fillId="0" borderId="12" xfId="0" applyFont="1" applyBorder="1" applyAlignment="1"/>
    <xf numFmtId="0" fontId="7" fillId="0" borderId="10" xfId="0" applyFont="1" applyBorder="1" applyAlignment="1"/>
    <xf numFmtId="3" fontId="7" fillId="0" borderId="10" xfId="0" applyNumberFormat="1" applyFont="1" applyBorder="1" applyAlignment="1"/>
    <xf numFmtId="3" fontId="7" fillId="0" borderId="12" xfId="0" applyNumberFormat="1" applyFont="1" applyBorder="1" applyAlignment="1"/>
    <xf numFmtId="3" fontId="7" fillId="0" borderId="25" xfId="0" applyNumberFormat="1" applyFont="1" applyBorder="1" applyAlignment="1"/>
    <xf numFmtId="166" fontId="7" fillId="0" borderId="24" xfId="0" applyNumberFormat="1" applyFont="1" applyFill="1" applyBorder="1" applyAlignment="1" applyProtection="1"/>
    <xf numFmtId="3" fontId="7" fillId="0" borderId="24" xfId="0" applyNumberFormat="1" applyFont="1" applyBorder="1" applyAlignment="1"/>
    <xf numFmtId="3" fontId="7" fillId="0" borderId="23" xfId="0" applyNumberFormat="1" applyFont="1" applyBorder="1" applyAlignment="1"/>
    <xf numFmtId="3" fontId="7" fillId="0" borderId="27" xfId="0" applyNumberFormat="1" applyFont="1" applyBorder="1" applyAlignment="1"/>
    <xf numFmtId="3" fontId="7" fillId="0" borderId="18" xfId="0" applyNumberFormat="1" applyFont="1" applyBorder="1" applyAlignment="1"/>
    <xf numFmtId="10" fontId="7" fillId="0" borderId="12" xfId="0" applyNumberFormat="1" applyFont="1" applyBorder="1" applyAlignment="1"/>
    <xf numFmtId="10" fontId="7" fillId="0" borderId="12" xfId="0" applyNumberFormat="1" applyFont="1" applyFill="1" applyBorder="1" applyAlignment="1" applyProtection="1"/>
    <xf numFmtId="0" fontId="7" fillId="0" borderId="29" xfId="0" applyFont="1" applyBorder="1" applyAlignment="1"/>
    <xf numFmtId="10" fontId="7" fillId="0" borderId="24" xfId="0" applyNumberFormat="1" applyFont="1" applyFill="1" applyBorder="1" applyAlignment="1" applyProtection="1"/>
    <xf numFmtId="0" fontId="7" fillId="0" borderId="30" xfId="0" applyFont="1" applyBorder="1" applyAlignment="1"/>
    <xf numFmtId="3" fontId="7" fillId="0" borderId="15" xfId="0" applyNumberFormat="1" applyFont="1" applyBorder="1" applyAlignment="1"/>
    <xf numFmtId="0" fontId="7" fillId="0" borderId="0" xfId="0" applyFont="1" applyAlignment="1">
      <alignment horizontal="right"/>
    </xf>
    <xf numFmtId="166" fontId="7" fillId="0" borderId="26" xfId="0" applyNumberFormat="1" applyFont="1" applyFill="1" applyBorder="1" applyAlignment="1" applyProtection="1"/>
    <xf numFmtId="4" fontId="7" fillId="6" borderId="27" xfId="1" applyNumberFormat="1" applyFont="1" applyFill="1" applyBorder="1" applyProtection="1">
      <protection locked="0"/>
    </xf>
    <xf numFmtId="4" fontId="7" fillId="0" borderId="25" xfId="1" applyNumberFormat="1" applyFont="1" applyBorder="1"/>
    <xf numFmtId="3" fontId="7" fillId="0" borderId="0" xfId="1" applyNumberFormat="1" applyFont="1"/>
    <xf numFmtId="0" fontId="23" fillId="0" borderId="22" xfId="0" applyFont="1" applyBorder="1" applyAlignment="1" applyProtection="1"/>
    <xf numFmtId="1" fontId="7" fillId="0" borderId="20" xfId="0" applyNumberFormat="1" applyFont="1" applyBorder="1" applyAlignment="1" applyProtection="1"/>
    <xf numFmtId="0" fontId="24" fillId="0" borderId="31" xfId="0" applyFont="1" applyBorder="1" applyAlignment="1" applyProtection="1"/>
    <xf numFmtId="1" fontId="7" fillId="0" borderId="21" xfId="0" applyNumberFormat="1" applyFont="1" applyBorder="1" applyAlignment="1" applyProtection="1"/>
    <xf numFmtId="0" fontId="17" fillId="0" borderId="0" xfId="0" applyFont="1" applyAlignment="1"/>
    <xf numFmtId="0" fontId="9" fillId="0" borderId="0" xfId="0" applyFont="1" applyBorder="1" applyAlignment="1" applyProtection="1">
      <alignment horizontal="right"/>
    </xf>
    <xf numFmtId="164" fontId="0" fillId="0" borderId="0" xfId="6" applyNumberFormat="1" applyFont="1" applyAlignment="1" applyProtection="1"/>
    <xf numFmtId="164" fontId="8" fillId="0" borderId="0" xfId="0" applyNumberFormat="1" applyFont="1" applyBorder="1" applyAlignment="1" applyProtection="1"/>
    <xf numFmtId="164" fontId="0" fillId="0" borderId="0" xfId="0" applyNumberFormat="1" applyAlignment="1" applyProtection="1"/>
    <xf numFmtId="164" fontId="8" fillId="0" borderId="0" xfId="0" applyNumberFormat="1" applyFont="1" applyBorder="1" applyAlignment="1" applyProtection="1">
      <alignment horizontal="right"/>
    </xf>
    <xf numFmtId="10" fontId="8" fillId="0" borderId="0" xfId="0" applyNumberFormat="1" applyFont="1" applyBorder="1" applyAlignment="1" applyProtection="1"/>
    <xf numFmtId="164" fontId="8" fillId="8" borderId="0" xfId="0" applyNumberFormat="1" applyFont="1" applyFill="1" applyBorder="1" applyAlignment="1" applyProtection="1">
      <alignment horizontal="right"/>
    </xf>
    <xf numFmtId="164" fontId="8" fillId="0" borderId="33" xfId="0" applyNumberFormat="1" applyFont="1" applyBorder="1" applyAlignment="1" applyProtection="1">
      <alignment horizontal="right"/>
    </xf>
    <xf numFmtId="3" fontId="9" fillId="0" borderId="32" xfId="0" applyNumberFormat="1" applyFont="1" applyBorder="1" applyAlignment="1" applyProtection="1"/>
    <xf numFmtId="10" fontId="7" fillId="9" borderId="12" xfId="0" applyNumberFormat="1" applyFont="1" applyFill="1" applyBorder="1" applyAlignment="1" applyProtection="1"/>
    <xf numFmtId="9" fontId="7" fillId="9" borderId="18" xfId="0" applyNumberFormat="1" applyFont="1" applyFill="1" applyBorder="1" applyAlignment="1" applyProtection="1"/>
    <xf numFmtId="170" fontId="7" fillId="0" borderId="0" xfId="0" applyNumberFormat="1" applyFont="1" applyBorder="1" applyAlignment="1"/>
    <xf numFmtId="164" fontId="7" fillId="0" borderId="0" xfId="0" applyNumberFormat="1" applyFont="1" applyAlignment="1"/>
    <xf numFmtId="164" fontId="7" fillId="0" borderId="0" xfId="0" applyNumberFormat="1" applyFont="1" applyBorder="1" applyAlignment="1" applyProtection="1"/>
    <xf numFmtId="171" fontId="8" fillId="0" borderId="0" xfId="0" applyNumberFormat="1" applyFont="1" applyBorder="1" applyAlignment="1" applyProtection="1"/>
    <xf numFmtId="171" fontId="0" fillId="0" borderId="0" xfId="0" applyNumberFormat="1" applyAlignment="1" applyProtection="1"/>
    <xf numFmtId="172" fontId="7" fillId="0" borderId="10" xfId="0" applyNumberFormat="1" applyFont="1" applyBorder="1" applyAlignment="1"/>
    <xf numFmtId="3" fontId="7" fillId="0" borderId="0" xfId="0" applyNumberFormat="1" applyFont="1" applyBorder="1" applyAlignment="1"/>
    <xf numFmtId="0" fontId="7" fillId="0" borderId="15" xfId="0" applyFont="1" applyBorder="1" applyAlignment="1"/>
    <xf numFmtId="1" fontId="7" fillId="0" borderId="10" xfId="0" applyNumberFormat="1" applyFont="1" applyBorder="1" applyAlignment="1"/>
    <xf numFmtId="1" fontId="7" fillId="0" borderId="27" xfId="0" applyNumberFormat="1" applyFont="1" applyBorder="1" applyAlignment="1"/>
    <xf numFmtId="1" fontId="7" fillId="0" borderId="15" xfId="0" applyNumberFormat="1" applyFont="1" applyBorder="1" applyAlignment="1"/>
    <xf numFmtId="4" fontId="7" fillId="0" borderId="27" xfId="1" applyNumberFormat="1" applyFont="1" applyFill="1" applyBorder="1" applyProtection="1"/>
    <xf numFmtId="1" fontId="7" fillId="0" borderId="23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9" fontId="7" fillId="9" borderId="18" xfId="0" applyNumberFormat="1" applyFont="1" applyFill="1" applyBorder="1" applyAlignment="1" applyProtection="1">
      <alignment horizontal="center"/>
    </xf>
    <xf numFmtId="9" fontId="7" fillId="0" borderId="24" xfId="0" applyNumberFormat="1" applyFont="1" applyBorder="1" applyAlignment="1">
      <alignment horizontal="center"/>
    </xf>
    <xf numFmtId="9" fontId="7" fillId="0" borderId="25" xfId="0" applyNumberFormat="1" applyFont="1" applyBorder="1" applyAlignment="1">
      <alignment horizontal="center"/>
    </xf>
    <xf numFmtId="9" fontId="7" fillId="0" borderId="28" xfId="0" applyNumberFormat="1" applyFont="1" applyBorder="1" applyAlignment="1">
      <alignment horizontal="center"/>
    </xf>
    <xf numFmtId="9" fontId="7" fillId="0" borderId="18" xfId="0" applyNumberFormat="1" applyFont="1" applyBorder="1" applyAlignment="1">
      <alignment horizontal="center"/>
    </xf>
    <xf numFmtId="0" fontId="20" fillId="0" borderId="0" xfId="0" applyFont="1" applyAlignment="1"/>
    <xf numFmtId="9" fontId="20" fillId="0" borderId="0" xfId="6" applyNumberFormat="1" applyFont="1" applyAlignment="1"/>
    <xf numFmtId="3" fontId="20" fillId="0" borderId="0" xfId="0" applyNumberFormat="1" applyFont="1" applyAlignment="1"/>
    <xf numFmtId="1" fontId="20" fillId="0" borderId="0" xfId="0" applyNumberFormat="1" applyFont="1" applyAlignment="1"/>
    <xf numFmtId="1" fontId="20" fillId="0" borderId="0" xfId="6" applyNumberFormat="1" applyFont="1" applyAlignment="1"/>
    <xf numFmtId="165" fontId="20" fillId="0" borderId="0" xfId="0" applyNumberFormat="1" applyFont="1" applyAlignment="1"/>
    <xf numFmtId="9" fontId="20" fillId="0" borderId="0" xfId="0" applyNumberFormat="1" applyFont="1" applyAlignment="1"/>
    <xf numFmtId="165" fontId="20" fillId="0" borderId="0" xfId="6" applyNumberFormat="1" applyFont="1" applyAlignment="1"/>
    <xf numFmtId="164" fontId="20" fillId="0" borderId="0" xfId="6" applyNumberFormat="1" applyFont="1" applyAlignment="1"/>
    <xf numFmtId="2" fontId="20" fillId="0" borderId="0" xfId="0" applyNumberFormat="1" applyFont="1" applyAlignment="1"/>
    <xf numFmtId="0" fontId="20" fillId="0" borderId="0" xfId="0" applyFont="1" applyAlignment="1">
      <alignment textRotation="90"/>
    </xf>
    <xf numFmtId="169" fontId="20" fillId="0" borderId="0" xfId="0" applyNumberFormat="1" applyFont="1" applyAlignment="1"/>
    <xf numFmtId="0" fontId="20" fillId="10" borderId="0" xfId="0" applyFont="1" applyFill="1" applyAlignment="1">
      <alignment horizontal="right"/>
    </xf>
    <xf numFmtId="165" fontId="21" fillId="10" borderId="0" xfId="0" applyNumberFormat="1" applyFont="1" applyFill="1" applyAlignment="1"/>
    <xf numFmtId="9" fontId="7" fillId="0" borderId="15" xfId="0" applyNumberFormat="1" applyFont="1" applyBorder="1" applyAlignment="1" applyProtection="1"/>
    <xf numFmtId="3" fontId="7" fillId="0" borderId="15" xfId="1" applyNumberFormat="1" applyFont="1" applyBorder="1" applyAlignment="1" applyProtection="1"/>
    <xf numFmtId="0" fontId="20" fillId="0" borderId="0" xfId="0" applyFont="1" applyAlignment="1">
      <alignment horizontal="right"/>
    </xf>
    <xf numFmtId="10" fontId="7" fillId="0" borderId="0" xfId="0" applyNumberFormat="1" applyFont="1" applyBorder="1" applyProtection="1">
      <alignment vertical="top"/>
    </xf>
    <xf numFmtId="10" fontId="7" fillId="0" borderId="0" xfId="6" applyFont="1" applyAlignment="1" applyProtection="1"/>
    <xf numFmtId="3" fontId="7" fillId="0" borderId="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</xf>
    <xf numFmtId="164" fontId="8" fillId="0" borderId="0" xfId="0" applyNumberFormat="1" applyFont="1" applyFill="1" applyBorder="1" applyAlignment="1" applyProtection="1">
      <alignment horizontal="right"/>
    </xf>
    <xf numFmtId="164" fontId="7" fillId="0" borderId="0" xfId="0" applyNumberFormat="1" applyFont="1" applyFill="1" applyBorder="1" applyAlignment="1" applyProtection="1"/>
    <xf numFmtId="164" fontId="7" fillId="0" borderId="0" xfId="6" applyNumberFormat="1" applyFont="1" applyFill="1" applyAlignment="1" applyProtection="1"/>
    <xf numFmtId="9" fontId="8" fillId="0" borderId="10" xfId="0" applyNumberFormat="1" applyFont="1" applyFill="1" applyBorder="1" applyAlignment="1" applyProtection="1">
      <alignment horizontal="right"/>
    </xf>
    <xf numFmtId="9" fontId="7" fillId="0" borderId="1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  <protection locked="0"/>
    </xf>
    <xf numFmtId="1" fontId="7" fillId="0" borderId="15" xfId="0" applyNumberFormat="1" applyFont="1" applyFill="1" applyBorder="1" applyAlignment="1" applyProtection="1">
      <alignment horizontal="right"/>
    </xf>
    <xf numFmtId="9" fontId="27" fillId="0" borderId="4" xfId="0" applyNumberFormat="1" applyFont="1" applyFill="1" applyBorder="1" applyAlignment="1" applyProtection="1"/>
    <xf numFmtId="9" fontId="27" fillId="5" borderId="4" xfId="0" applyNumberFormat="1" applyFont="1" applyFill="1" applyBorder="1" applyAlignment="1" applyProtection="1"/>
    <xf numFmtId="9" fontId="7" fillId="2" borderId="0" xfId="0" applyNumberFormat="1" applyFont="1" applyFill="1" applyBorder="1" applyAlignment="1" applyProtection="1">
      <protection locked="0"/>
    </xf>
    <xf numFmtId="3" fontId="7" fillId="0" borderId="0" xfId="1" applyNumberFormat="1" applyFont="1" applyAlignment="1" applyProtection="1"/>
    <xf numFmtId="3" fontId="7" fillId="0" borderId="4" xfId="0" applyNumberFormat="1" applyFont="1" applyFill="1" applyBorder="1" applyAlignment="1" applyProtection="1"/>
    <xf numFmtId="9" fontId="7" fillId="0" borderId="10" xfId="6" applyNumberFormat="1" applyFont="1" applyBorder="1" applyAlignment="1" applyProtection="1"/>
    <xf numFmtId="9" fontId="7" fillId="0" borderId="10" xfId="0" applyNumberFormat="1" applyFont="1" applyBorder="1" applyAlignment="1" applyProtection="1"/>
    <xf numFmtId="3" fontId="7" fillId="0" borderId="0" xfId="1" applyNumberFormat="1" applyFont="1" applyAlignment="1" applyProtection="1">
      <alignment horizontal="right"/>
    </xf>
    <xf numFmtId="3" fontId="0" fillId="0" borderId="0" xfId="1" applyNumberFormat="1" applyFont="1" applyAlignment="1"/>
    <xf numFmtId="9" fontId="7" fillId="0" borderId="10" xfId="0" applyNumberFormat="1" applyFont="1" applyBorder="1" applyAlignment="1" applyProtection="1">
      <alignment horizontal="right"/>
    </xf>
    <xf numFmtId="9" fontId="8" fillId="0" borderId="33" xfId="0" applyNumberFormat="1" applyFont="1" applyBorder="1" applyAlignment="1" applyProtection="1">
      <alignment horizontal="right"/>
    </xf>
    <xf numFmtId="9" fontId="7" fillId="0" borderId="0" xfId="6" applyNumberFormat="1" applyFont="1" applyAlignment="1" applyProtection="1"/>
    <xf numFmtId="9" fontId="0" fillId="0" borderId="0" xfId="0" applyNumberFormat="1" applyFont="1" applyBorder="1" applyAlignment="1" applyProtection="1"/>
    <xf numFmtId="0" fontId="28" fillId="0" borderId="17" xfId="0" applyFont="1" applyBorder="1" applyAlignment="1"/>
    <xf numFmtId="9" fontId="28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9" fillId="0" borderId="16" xfId="0" applyFont="1" applyBorder="1" applyAlignment="1"/>
    <xf numFmtId="0" fontId="29" fillId="0" borderId="17" xfId="0" applyFont="1" applyBorder="1" applyAlignment="1"/>
    <xf numFmtId="0" fontId="28" fillId="0" borderId="16" xfId="0" applyFont="1" applyBorder="1" applyAlignment="1"/>
    <xf numFmtId="0" fontId="29" fillId="0" borderId="0" xfId="0" applyFont="1" applyAlignment="1"/>
    <xf numFmtId="38" fontId="7" fillId="0" borderId="0" xfId="0" applyNumberFormat="1" applyFont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10" fontId="7" fillId="9" borderId="10" xfId="0" applyNumberFormat="1" applyFont="1" applyFill="1" applyBorder="1" applyAlignment="1" applyProtection="1">
      <alignment horizontal="center"/>
    </xf>
    <xf numFmtId="9" fontId="7" fillId="0" borderId="12" xfId="0" applyNumberFormat="1" applyFont="1" applyBorder="1" applyAlignment="1">
      <alignment horizontal="center"/>
    </xf>
    <xf numFmtId="9" fontId="7" fillId="0" borderId="10" xfId="0" quotePrefix="1" applyNumberFormat="1" applyFont="1" applyBorder="1" applyAlignment="1">
      <alignment horizontal="center"/>
    </xf>
    <xf numFmtId="10" fontId="7" fillId="6" borderId="12" xfId="0" applyNumberFormat="1" applyFont="1" applyFill="1" applyBorder="1" applyAlignment="1" applyProtection="1">
      <alignment horizontal="center"/>
      <protection locked="0"/>
    </xf>
    <xf numFmtId="10" fontId="7" fillId="6" borderId="10" xfId="0" applyNumberFormat="1" applyFont="1" applyFill="1" applyBorder="1" applyAlignment="1" applyProtection="1">
      <alignment horizontal="center"/>
      <protection locked="0"/>
    </xf>
    <xf numFmtId="9" fontId="7" fillId="0" borderId="10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center"/>
    </xf>
    <xf numFmtId="9" fontId="30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8" fillId="0" borderId="16" xfId="0" applyFont="1" applyBorder="1" applyAlignment="1">
      <alignment horizontal="left"/>
    </xf>
    <xf numFmtId="9" fontId="14" fillId="0" borderId="16" xfId="0" applyNumberFormat="1" applyFont="1" applyBorder="1" applyAlignment="1">
      <alignment horizontal="center"/>
    </xf>
    <xf numFmtId="9" fontId="15" fillId="0" borderId="16" xfId="0" applyNumberFormat="1" applyFont="1" applyBorder="1" applyAlignment="1">
      <alignment horizontal="center"/>
    </xf>
    <xf numFmtId="9" fontId="14" fillId="0" borderId="16" xfId="0" applyNumberFormat="1" applyFont="1" applyBorder="1" applyAlignment="1">
      <alignment horizontal="left"/>
    </xf>
    <xf numFmtId="1" fontId="7" fillId="0" borderId="0" xfId="0" applyNumberFormat="1" applyFont="1" applyBorder="1" applyAlignment="1" applyProtection="1">
      <alignment horizontal="right"/>
      <protection locked="0"/>
    </xf>
    <xf numFmtId="0" fontId="0" fillId="0" borderId="34" xfId="0" applyBorder="1" applyAlignment="1"/>
    <xf numFmtId="3" fontId="0" fillId="0" borderId="34" xfId="1" applyNumberFormat="1" applyFont="1" applyBorder="1" applyAlignment="1"/>
  </cellXfs>
  <cellStyles count="158">
    <cellStyle name="Comma" xfId="1" builtinId="3"/>
    <cellStyle name="Date" xfId="2"/>
    <cellStyle name="Fixed" xfId="3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HEADING1" xfId="4"/>
    <cellStyle name="HEADING2" xfId="5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Normal" xfId="0" builtinId="0"/>
    <cellStyle name="Percent" xfId="6" builtinId="5"/>
    <cellStyle name="Total" xfId="7" builtinId="25" customBuiltin="1"/>
  </cellStyles>
  <dxfs count="700"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00CCFF"/>
      <color rgb="FFF7F4B3"/>
      <color rgb="FF723F95"/>
      <color rgb="FF008080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externalLink" Target="externalLinks/externalLink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53966787437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Poor!$K$6:$M$6</c:f>
              <c:numCache>
                <c:formatCode>0%</c:formatCode>
                <c:ptCount val="3"/>
                <c:pt idx="0">
                  <c:v>0.0234666874221669</c:v>
                </c:pt>
                <c:pt idx="1">
                  <c:v>0.00469333748443337</c:v>
                </c:pt>
                <c:pt idx="2" formatCode="0.0%">
                  <c:v>0.00469333748443337</c:v>
                </c:pt>
              </c:numCache>
            </c:numRef>
          </c:val>
        </c:ser>
        <c:ser>
          <c:idx val="1"/>
          <c:order val="1"/>
          <c:tx>
            <c:strRef>
              <c:f>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Poor!$K$7:$M$7</c:f>
              <c:numCache>
                <c:formatCode>0%</c:formatCode>
                <c:ptCount val="3"/>
                <c:pt idx="0">
                  <c:v>0.0249943617683686</c:v>
                </c:pt>
                <c:pt idx="1">
                  <c:v>0.00499887235367372</c:v>
                </c:pt>
                <c:pt idx="2" formatCode="0.0%">
                  <c:v>0.00499887235367372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Poor!$K$8:$M$8</c:f>
              <c:numCache>
                <c:formatCode>0%</c:formatCode>
                <c:ptCount val="3"/>
                <c:pt idx="0">
                  <c:v>0.192815044520548</c:v>
                </c:pt>
                <c:pt idx="1">
                  <c:v>0.0578445133561644</c:v>
                </c:pt>
                <c:pt idx="2" formatCode="0.0%">
                  <c:v>0.0578445133561644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Poor!$K$9:$M$9</c:f>
              <c:numCache>
                <c:formatCode>0%</c:formatCode>
                <c:ptCount val="3"/>
                <c:pt idx="0">
                  <c:v>0.0276176292029888</c:v>
                </c:pt>
                <c:pt idx="1">
                  <c:v>0.00552352584059776</c:v>
                </c:pt>
                <c:pt idx="2" formatCode="0.0%">
                  <c:v>0.00552352584059776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Poor!$K$10:$M$10</c:f>
              <c:numCache>
                <c:formatCode>0%</c:formatCode>
                <c:ptCount val="3"/>
                <c:pt idx="0">
                  <c:v>0.00930689663760896</c:v>
                </c:pt>
                <c:pt idx="1">
                  <c:v>0.00186137932752179</c:v>
                </c:pt>
                <c:pt idx="2" formatCode="0.0%">
                  <c:v>0.00624109539227895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Poor!$A$14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Poor!$A$15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Poor!$A$16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Poor!$A$17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Poor!$A$18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Poor!$A$19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Poor!$A$20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Poor!$K$26:$M$26</c:f>
              <c:numCache>
                <c:formatCode>0%</c:formatCode>
                <c:ptCount val="3"/>
                <c:pt idx="0">
                  <c:v>0.119047619047619</c:v>
                </c:pt>
                <c:pt idx="1">
                  <c:v>0.119047619047619</c:v>
                </c:pt>
                <c:pt idx="2" formatCode="0.0%">
                  <c:v>0.119047619047619</c:v>
                </c:pt>
              </c:numCache>
            </c:numRef>
          </c:val>
        </c:ser>
        <c:ser>
          <c:idx val="21"/>
          <c:order val="21"/>
          <c:tx>
            <c:strRef>
              <c:f>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Poor!$K$27:$M$27</c:f>
              <c:numCache>
                <c:formatCode>0%</c:formatCode>
                <c:ptCount val="3"/>
                <c:pt idx="0">
                  <c:v>0.0121517568493151</c:v>
                </c:pt>
                <c:pt idx="1">
                  <c:v>0.0121517568493151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Poor!$K$29:$M$29</c:f>
              <c:numCache>
                <c:formatCode>0%</c:formatCode>
                <c:ptCount val="3"/>
                <c:pt idx="0">
                  <c:v>0.196290466531756</c:v>
                </c:pt>
                <c:pt idx="1">
                  <c:v>0.196290466531756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Poor!$K$30:$M$30</c:f>
              <c:numCache>
                <c:formatCode>0%</c:formatCode>
                <c:ptCount val="3"/>
                <c:pt idx="0">
                  <c:v>0.589584081070984</c:v>
                </c:pt>
                <c:pt idx="1">
                  <c:v>0.0527164893988521</c:v>
                </c:pt>
                <c:pt idx="2" formatCode="0.0%">
                  <c:v>0.213210329695446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77087544"/>
        <c:axId val="-2077084200"/>
      </c:barChart>
      <c:catAx>
        <c:axId val="-2077087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770842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770842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437395436928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7708754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5840648806094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Middle!$K$37:$M$37</c:f>
              <c:numCache>
                <c:formatCode>0%</c:formatCode>
                <c:ptCount val="3"/>
                <c:pt idx="0">
                  <c:v>0.186328170490276</c:v>
                </c:pt>
                <c:pt idx="1">
                  <c:v>0.109933620589263</c:v>
                </c:pt>
                <c:pt idx="2">
                  <c:v>0.109933620589263</c:v>
                </c:pt>
              </c:numCache>
            </c:numRef>
          </c:val>
        </c:ser>
        <c:ser>
          <c:idx val="1"/>
          <c:order val="1"/>
          <c:tx>
            <c:strRef>
              <c:f>Middle!$A$38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Middle!$K$38:$M$38</c:f>
              <c:numCache>
                <c:formatCode>0%</c:formatCode>
                <c:ptCount val="3"/>
                <c:pt idx="0">
                  <c:v>0.0698730639338535</c:v>
                </c:pt>
                <c:pt idx="1">
                  <c:v>0.0412251077209736</c:v>
                </c:pt>
                <c:pt idx="2">
                  <c:v>0.0724756178797166</c:v>
                </c:pt>
              </c:numCache>
            </c:numRef>
          </c:val>
        </c:ser>
        <c:ser>
          <c:idx val="2"/>
          <c:order val="2"/>
          <c:tx>
            <c:strRef>
              <c:f>Middle!$A$39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Middle!$K$39:$M$39</c:f>
              <c:numCache>
                <c:formatCode>0%</c:formatCode>
                <c:ptCount val="3"/>
                <c:pt idx="0">
                  <c:v>0.0186328170490276</c:v>
                </c:pt>
                <c:pt idx="1">
                  <c:v>0.0109933620589263</c:v>
                </c:pt>
                <c:pt idx="2">
                  <c:v>0.0109933620589263</c:v>
                </c:pt>
              </c:numCache>
            </c:numRef>
          </c:val>
        </c:ser>
        <c:ser>
          <c:idx val="3"/>
          <c:order val="3"/>
          <c:tx>
            <c:strRef>
              <c:f>Middle!$A$40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Middle!$K$40:$M$40</c:f>
              <c:numCache>
                <c:formatCode>0%</c:formatCode>
                <c:ptCount val="3"/>
                <c:pt idx="0">
                  <c:v>0.0151391638523349</c:v>
                </c:pt>
                <c:pt idx="1">
                  <c:v>0.0178642133457552</c:v>
                </c:pt>
                <c:pt idx="2">
                  <c:v>0.0178642133457552</c:v>
                </c:pt>
              </c:numCache>
            </c:numRef>
          </c:val>
        </c:ser>
        <c:ser>
          <c:idx val="4"/>
          <c:order val="4"/>
          <c:tx>
            <c:strRef>
              <c:f>Middle!$A$41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Middle!$K$41:$M$41</c:f>
              <c:numCache>
                <c:formatCode>0%</c:formatCode>
                <c:ptCount val="3"/>
                <c:pt idx="0">
                  <c:v>0.0279492255735414</c:v>
                </c:pt>
                <c:pt idx="1">
                  <c:v>0.0117386747408874</c:v>
                </c:pt>
                <c:pt idx="2">
                  <c:v>-0.00160900078454185</c:v>
                </c:pt>
              </c:numCache>
            </c:numRef>
          </c:val>
        </c:ser>
        <c:ser>
          <c:idx val="5"/>
          <c:order val="5"/>
          <c:tx>
            <c:strRef>
              <c:f>Middle!$A$42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Middle!$K$42:$M$42</c:f>
              <c:numCache>
                <c:formatCode>0%</c:formatCode>
                <c:ptCount val="3"/>
                <c:pt idx="0">
                  <c:v>0.200885058809829</c:v>
                </c:pt>
                <c:pt idx="1">
                  <c:v>0.0562478164667521</c:v>
                </c:pt>
                <c:pt idx="2">
                  <c:v>0.056247816466752</c:v>
                </c:pt>
              </c:numCache>
            </c:numRef>
          </c:val>
        </c:ser>
        <c:ser>
          <c:idx val="6"/>
          <c:order val="6"/>
          <c:tx>
            <c:strRef>
              <c:f>Middle!$A$43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Middle!$K$43:$M$43</c:f>
              <c:numCache>
                <c:formatCode>0%</c:formatCode>
                <c:ptCount val="3"/>
                <c:pt idx="0">
                  <c:v>0.0291137766391056</c:v>
                </c:pt>
                <c:pt idx="1">
                  <c:v>0.00815185745894957</c:v>
                </c:pt>
                <c:pt idx="2">
                  <c:v>-0.00111736165593184</c:v>
                </c:pt>
              </c:numCache>
            </c:numRef>
          </c:val>
        </c:ser>
        <c:ser>
          <c:idx val="7"/>
          <c:order val="7"/>
          <c:tx>
            <c:strRef>
              <c:f>Middle!$A$44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Middle!$A$45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Middle!$A$46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Middle!$A$47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Middle!$K$47:$M$47</c:f>
              <c:numCache>
                <c:formatCode>0%</c:formatCode>
                <c:ptCount val="3"/>
                <c:pt idx="0">
                  <c:v>0.223593804588331</c:v>
                </c:pt>
                <c:pt idx="1">
                  <c:v>0.105536275765692</c:v>
                </c:pt>
                <c:pt idx="2">
                  <c:v>0.105536275765692</c:v>
                </c:pt>
              </c:numCache>
            </c:numRef>
          </c:val>
        </c:ser>
        <c:ser>
          <c:idx val="11"/>
          <c:order val="11"/>
          <c:tx>
            <c:strRef>
              <c:f>Middle!$A$48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Middle!$A$49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Middle!$K$49:$M$49</c:f>
              <c:numCache>
                <c:formatCode>0%</c:formatCode>
                <c:ptCount val="3"/>
                <c:pt idx="0">
                  <c:v>0.0887387911959939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Middle!$A$50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Middle!$A$51</c:f>
              <c:strCache>
                <c:ptCount val="1"/>
                <c:pt idx="0">
                  <c:v>Gifts/social support: type (Child support, Pension and Foster Care)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Middle!$A$52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Middle!$K$52:$M$52</c:f>
              <c:numCache>
                <c:formatCode>0%</c:formatCode>
                <c:ptCount val="3"/>
                <c:pt idx="0">
                  <c:v>0.139746127867707</c:v>
                </c:pt>
                <c:pt idx="1">
                  <c:v>0.155118201933155</c:v>
                </c:pt>
                <c:pt idx="2">
                  <c:v>0.155118201933155</c:v>
                </c:pt>
              </c:numCache>
            </c:numRef>
          </c:val>
        </c:ser>
        <c:ser>
          <c:idx val="16"/>
          <c:order val="16"/>
          <c:tx>
            <c:strRef>
              <c:f>Middle!$A$53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Middle!$A$58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Middle!$A$59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Middle!$A$60</c:f>
              <c:strCache>
                <c:ptCount val="1"/>
              </c:strCache>
            </c:strRef>
          </c:tx>
          <c:invertIfNegative val="0"/>
          <c:val>
            <c:numRef>
              <c:f>Middle!$K$60:$M$60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Middle!$A$61</c:f>
              <c:strCache>
                <c:ptCount val="1"/>
              </c:strCache>
            </c:strRef>
          </c:tx>
          <c:invertIfNegative val="0"/>
          <c:val>
            <c:numRef>
              <c:f>Middle!$K$61:$M$61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Middle!$A$62</c:f>
              <c:strCache>
                <c:ptCount val="1"/>
              </c:strCache>
            </c:strRef>
          </c:tx>
          <c:invertIfNegative val="0"/>
          <c:val>
            <c:numRef>
              <c:f>Middle!$K$62:$M$62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Middle!$A$63</c:f>
              <c:strCache>
                <c:ptCount val="1"/>
              </c:strCache>
            </c:strRef>
          </c:tx>
          <c:invertIfNegative val="0"/>
          <c:val>
            <c:numRef>
              <c:f>Middle!$K$63:$M$63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Middle!$A$64</c:f>
              <c:strCache>
                <c:ptCount val="1"/>
              </c:strCache>
            </c:strRef>
          </c:tx>
          <c:invertIfNegative val="0"/>
          <c:val>
            <c:numRef>
              <c:f>Middle!$K$64:$M$64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85971784"/>
        <c:axId val="-2085992120"/>
      </c:barChart>
      <c:catAx>
        <c:axId val="-2085971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859921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859921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8484235964406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8597178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118694362017804"/>
          <c:y val="0.733739837398374"/>
          <c:w val="0.98813056379822"/>
          <c:h val="0.2642276422764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Rich!$K$37:$M$37</c:f>
              <c:numCache>
                <c:formatCode>0%</c:formatCode>
                <c:ptCount val="3"/>
                <c:pt idx="0">
                  <c:v>0.10407838243101</c:v>
                </c:pt>
                <c:pt idx="1">
                  <c:v>0.061406245634296</c:v>
                </c:pt>
                <c:pt idx="2">
                  <c:v>0.061406245634296</c:v>
                </c:pt>
              </c:numCache>
            </c:numRef>
          </c:val>
        </c:ser>
        <c:ser>
          <c:idx val="1"/>
          <c:order val="1"/>
          <c:tx>
            <c:strRef>
              <c:f>Rich!$A$38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Rich!$K$38:$M$38</c:f>
              <c:numCache>
                <c:formatCode>0%</c:formatCode>
                <c:ptCount val="3"/>
                <c:pt idx="0">
                  <c:v>0.0372540071341424</c:v>
                </c:pt>
                <c:pt idx="1">
                  <c:v>0.021979864209144</c:v>
                </c:pt>
                <c:pt idx="2">
                  <c:v>0.0222793167893135</c:v>
                </c:pt>
              </c:numCache>
            </c:numRef>
          </c:val>
        </c:ser>
        <c:ser>
          <c:idx val="2"/>
          <c:order val="2"/>
          <c:tx>
            <c:strRef>
              <c:f>Rich!$A$39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Rich!$K$39:$M$39</c:f>
              <c:numCache>
                <c:formatCode>0%</c:formatCode>
                <c:ptCount val="3"/>
                <c:pt idx="0">
                  <c:v>0.0111762021402427</c:v>
                </c:pt>
                <c:pt idx="1">
                  <c:v>0.0065939592627432</c:v>
                </c:pt>
                <c:pt idx="2">
                  <c:v>0.0065939592627432</c:v>
                </c:pt>
              </c:numCache>
            </c:numRef>
          </c:val>
        </c:ser>
        <c:ser>
          <c:idx val="3"/>
          <c:order val="3"/>
          <c:tx>
            <c:strRef>
              <c:f>Rich!$A$40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Rich!$K$41:$M$41</c:f>
              <c:numCache>
                <c:formatCode>0%</c:formatCode>
                <c:ptCount val="3"/>
                <c:pt idx="0">
                  <c:v>0.0167643032103641</c:v>
                </c:pt>
                <c:pt idx="1">
                  <c:v>0.0070410073483529</c:v>
                </c:pt>
                <c:pt idx="2">
                  <c:v>0.00673404307634187</c:v>
                </c:pt>
              </c:numCache>
            </c:numRef>
          </c:val>
        </c:ser>
        <c:ser>
          <c:idx val="5"/>
          <c:order val="5"/>
          <c:tx>
            <c:strRef>
              <c:f>Rich!$A$42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Rich!$K$42:$M$42</c:f>
              <c:numCache>
                <c:formatCode>0%</c:formatCode>
                <c:ptCount val="3"/>
                <c:pt idx="0">
                  <c:v>0.0279405053506068</c:v>
                </c:pt>
                <c:pt idx="1">
                  <c:v>0.00782334149816989</c:v>
                </c:pt>
                <c:pt idx="2">
                  <c:v>0.00782334149816989</c:v>
                </c:pt>
              </c:numCache>
            </c:numRef>
          </c:val>
        </c:ser>
        <c:ser>
          <c:idx val="6"/>
          <c:order val="6"/>
          <c:tx>
            <c:strRef>
              <c:f>Rich!$A$43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Rich!$K$43:$M$43</c:f>
              <c:numCache>
                <c:formatCode>0%</c:formatCode>
                <c:ptCount val="3"/>
                <c:pt idx="0">
                  <c:v>0.00201171638524369</c:v>
                </c:pt>
                <c:pt idx="1">
                  <c:v>0.000563280587868232</c:v>
                </c:pt>
                <c:pt idx="2">
                  <c:v>0.00053872344610735</c:v>
                </c:pt>
              </c:numCache>
            </c:numRef>
          </c:val>
        </c:ser>
        <c:ser>
          <c:idx val="7"/>
          <c:order val="7"/>
          <c:tx>
            <c:strRef>
              <c:f>Rich!$A$44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Rich!$A$45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Rich!$A$46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Rich!$A$47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Rich!$K$47:$M$47</c:f>
              <c:numCache>
                <c:formatCode>0%</c:formatCode>
                <c:ptCount val="3"/>
                <c:pt idx="0">
                  <c:v>0.352050367417645</c:v>
                </c:pt>
                <c:pt idx="1">
                  <c:v>0.166167773421129</c:v>
                </c:pt>
                <c:pt idx="2">
                  <c:v>0.166167773421129</c:v>
                </c:pt>
              </c:numCache>
            </c:numRef>
          </c:val>
        </c:ser>
        <c:ser>
          <c:idx val="11"/>
          <c:order val="11"/>
          <c:tx>
            <c:strRef>
              <c:f>Rich!$A$48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Rich!$K$48:$M$48</c:f>
              <c:numCache>
                <c:formatCode>0%</c:formatCode>
                <c:ptCount val="3"/>
                <c:pt idx="0">
                  <c:v>0.291978280913841</c:v>
                </c:pt>
                <c:pt idx="1">
                  <c:v>0.275627497182666</c:v>
                </c:pt>
                <c:pt idx="2">
                  <c:v>0.275627497182666</c:v>
                </c:pt>
              </c:numCache>
            </c:numRef>
          </c:val>
        </c:ser>
        <c:ser>
          <c:idx val="12"/>
          <c:order val="12"/>
          <c:tx>
            <c:strRef>
              <c:f>Rich!$A$49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Rich!$K$49:$M$49</c:f>
              <c:numCache>
                <c:formatCode>0%</c:formatCode>
                <c:ptCount val="3"/>
                <c:pt idx="0">
                  <c:v>0.0354844417952706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Rich!$A$50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Rich!$A$51</c:f>
              <c:strCache>
                <c:ptCount val="1"/>
                <c:pt idx="0">
                  <c:v>Gifts/social support: type (Child support, Pension and Foster Care)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Rich!$K$51:$M$51</c:f>
              <c:numCache>
                <c:formatCode>0%</c:formatCode>
                <c:ptCount val="3"/>
                <c:pt idx="0">
                  <c:v>0.0793510351957232</c:v>
                </c:pt>
                <c:pt idx="1">
                  <c:v>0.0793510351957232</c:v>
                </c:pt>
                <c:pt idx="2">
                  <c:v>0.0793510351957232</c:v>
                </c:pt>
              </c:numCache>
            </c:numRef>
          </c:val>
        </c:ser>
        <c:ser>
          <c:idx val="15"/>
          <c:order val="15"/>
          <c:tx>
            <c:strRef>
              <c:f>Rich!$A$52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Rich!$K$52:$M$52</c:f>
              <c:numCache>
                <c:formatCode>0%</c:formatCode>
                <c:ptCount val="3"/>
                <c:pt idx="0">
                  <c:v>0.0419107580259102</c:v>
                </c:pt>
                <c:pt idx="1">
                  <c:v>0.0465209414087603</c:v>
                </c:pt>
                <c:pt idx="2">
                  <c:v>0.0465209414087603</c:v>
                </c:pt>
              </c:numCache>
            </c:numRef>
          </c:val>
        </c:ser>
        <c:ser>
          <c:idx val="16"/>
          <c:order val="16"/>
          <c:tx>
            <c:strRef>
              <c:f>Rich!$A$53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Rich!$A$59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Rich!$A$60</c:f>
              <c:strCache>
                <c:ptCount val="1"/>
              </c:strCache>
            </c:strRef>
          </c:tx>
          <c:invertIfNegative val="0"/>
          <c:val>
            <c:numRef>
              <c:f>Rich!$K$60:$M$60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Rich!$A$61</c:f>
              <c:strCache>
                <c:ptCount val="1"/>
              </c:strCache>
            </c:strRef>
          </c:tx>
          <c:invertIfNegative val="0"/>
          <c:val>
            <c:numRef>
              <c:f>Rich!$K$61:$M$61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Rich!$A$62</c:f>
              <c:strCache>
                <c:ptCount val="1"/>
              </c:strCache>
            </c:strRef>
          </c:tx>
          <c:invertIfNegative val="0"/>
          <c:val>
            <c:numRef>
              <c:f>Rich!$K$62:$M$62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Rich!$A$63</c:f>
              <c:strCache>
                <c:ptCount val="1"/>
              </c:strCache>
            </c:strRef>
          </c:tx>
          <c:invertIfNegative val="0"/>
          <c:val>
            <c:numRef>
              <c:f>Rich!$K$63:$M$63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Rich!$A$64</c:f>
              <c:strCache>
                <c:ptCount val="1"/>
              </c:strCache>
            </c:strRef>
          </c:tx>
          <c:invertIfNegative val="0"/>
          <c:val>
            <c:numRef>
              <c:f>Rich!$K$64:$M$64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78922760"/>
        <c:axId val="-2078576552"/>
      </c:barChart>
      <c:catAx>
        <c:axId val="-2078922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785765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785765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8587286345304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7892276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V.Poor!$K$38:$M$38</c:f>
              <c:numCache>
                <c:formatCode>0%</c:formatCode>
                <c:ptCount val="3"/>
                <c:pt idx="0">
                  <c:v>0.0404022266115999</c:v>
                </c:pt>
                <c:pt idx="1">
                  <c:v>0.023837313700844</c:v>
                </c:pt>
                <c:pt idx="2">
                  <c:v>0.023837313700844</c:v>
                </c:pt>
              </c:numCache>
            </c:numRef>
          </c:val>
        </c:ser>
        <c:ser>
          <c:idx val="2"/>
          <c:order val="2"/>
          <c:tx>
            <c:strRef>
              <c:f>V.Poor!$A$39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V.Poor!$A$40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V.Poor!$A$43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V.Poor!$A$44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V.Poor!$K$44:$M$44</c:f>
              <c:numCache>
                <c:formatCode>0%</c:formatCode>
                <c:ptCount val="3"/>
                <c:pt idx="0">
                  <c:v>0.0272939486442808</c:v>
                </c:pt>
                <c:pt idx="1">
                  <c:v>0.0151481414975759</c:v>
                </c:pt>
                <c:pt idx="2">
                  <c:v>0.0151481414975759</c:v>
                </c:pt>
              </c:numCache>
            </c:numRef>
          </c:val>
        </c:ser>
        <c:ser>
          <c:idx val="8"/>
          <c:order val="8"/>
          <c:tx>
            <c:strRef>
              <c:f>V.Poor!$A$45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V.Poor!$K$45:$M$45</c:f>
              <c:numCache>
                <c:formatCode>0%</c:formatCode>
                <c:ptCount val="3"/>
                <c:pt idx="0">
                  <c:v>0.0337583049021368</c:v>
                </c:pt>
                <c:pt idx="1">
                  <c:v>0.0187358592206859</c:v>
                </c:pt>
                <c:pt idx="2">
                  <c:v>0.0187358592206859</c:v>
                </c:pt>
              </c:numCache>
            </c:numRef>
          </c:val>
        </c:ser>
        <c:ser>
          <c:idx val="9"/>
          <c:order val="9"/>
          <c:tx>
            <c:strRef>
              <c:f>V.Poor!$A$46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V.Poor!$K$46:$M$46</c:f>
              <c:numCache>
                <c:formatCode>0%</c:formatCode>
                <c:ptCount val="3"/>
                <c:pt idx="0">
                  <c:v>0.172382833542826</c:v>
                </c:pt>
                <c:pt idx="1">
                  <c:v>0.0956724726162686</c:v>
                </c:pt>
                <c:pt idx="2">
                  <c:v>0.0956724726162686</c:v>
                </c:pt>
              </c:numCache>
            </c:numRef>
          </c:val>
        </c:ser>
        <c:ser>
          <c:idx val="10"/>
          <c:order val="10"/>
          <c:tx>
            <c:strRef>
              <c:f>V.Poor!$A$47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V.Poor!$A$48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V.Poor!$A$49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V.Poor!$K$49:$M$49</c:f>
              <c:numCache>
                <c:formatCode>0%</c:formatCode>
                <c:ptCount val="3"/>
                <c:pt idx="0">
                  <c:v>0.726162686299156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V.Poor!$A$50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V.Poor!$A$51</c:f>
              <c:strCache>
                <c:ptCount val="1"/>
                <c:pt idx="0">
                  <c:v>Gifts/social support: type (Child support, Pension and Foster Care)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V.Poor!$A$52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V.Poor!$A$53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V.Poor!$A$58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V.Poor!$A$60</c:f>
              <c:strCache>
                <c:ptCount val="1"/>
              </c:strCache>
            </c:strRef>
          </c:tx>
          <c:invertIfNegative val="0"/>
          <c:val>
            <c:numRef>
              <c:f>V.Poor!$K$60:$M$60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V.Poor!$A$61</c:f>
              <c:strCache>
                <c:ptCount val="1"/>
              </c:strCache>
            </c:strRef>
          </c:tx>
          <c:invertIfNegative val="0"/>
          <c:val>
            <c:numRef>
              <c:f>V.Poor!$K$61:$M$61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V.Poor!$A$62</c:f>
              <c:strCache>
                <c:ptCount val="1"/>
              </c:strCache>
            </c:strRef>
          </c:tx>
          <c:invertIfNegative val="0"/>
          <c:val>
            <c:numRef>
              <c:f>V.Poor!$K$62:$M$62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V.Poor!$A$63</c:f>
              <c:strCache>
                <c:ptCount val="1"/>
              </c:strCache>
            </c:strRef>
          </c:tx>
          <c:invertIfNegative val="0"/>
          <c:val>
            <c:numRef>
              <c:f>V.Poor!$K$63:$M$63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V.Poor!$A$64</c:f>
              <c:strCache>
                <c:ptCount val="1"/>
              </c:strCache>
            </c:strRef>
          </c:tx>
          <c:invertIfNegative val="0"/>
          <c:val>
            <c:numRef>
              <c:f>V.Poor!$K$64:$M$64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85741544"/>
        <c:axId val="-2085738520"/>
      </c:barChart>
      <c:catAx>
        <c:axId val="-2085741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857385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857385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206951580941"/>
              <c:y val="0.28484234470691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8574154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>
                <a:latin typeface="Helvetica Light"/>
                <a:cs typeface="Helvetica Light"/>
              </a:defRPr>
            </a:pPr>
            <a:r>
              <a:rPr lang="en-US" sz="1300" b="0" i="0">
                <a:latin typeface="Helvetica Light"/>
                <a:cs typeface="Helvetica Light"/>
              </a:rPr>
              <a:t>ZAKHC - Affected Area without Grants</a:t>
            </a:r>
          </a:p>
        </c:rich>
      </c:tx>
      <c:layout>
        <c:manualLayout>
          <c:xMode val="edge"/>
          <c:yMode val="edge"/>
          <c:x val="0.316717800171352"/>
          <c:y val="0.0274263278065851"/>
        </c:manualLayout>
      </c:layout>
      <c:overlay val="1"/>
      <c:spPr>
        <a:solidFill>
          <a:schemeClr val="bg1"/>
        </a:solidFill>
        <a:ln w="3175" cmpd="sng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0997886663130839"/>
          <c:y val="0.0491059044448712"/>
          <c:w val="0.837439924931663"/>
          <c:h val="0.680472014168961"/>
        </c:manualLayout>
      </c:layout>
      <c:barChart>
        <c:barDir val="col"/>
        <c:grouping val="stacked"/>
        <c:varyColors val="0"/>
        <c:ser>
          <c:idx val="1"/>
          <c:order val="2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Income!$B$72:$I$72</c:f>
              <c:numCache>
                <c:formatCode>#,##0</c:formatCode>
                <c:ptCount val="8"/>
                <c:pt idx="0">
                  <c:v>1471.286595974585</c:v>
                </c:pt>
                <c:pt idx="1">
                  <c:v>4042.401206537601</c:v>
                </c:pt>
                <c:pt idx="2">
                  <c:v>3726.381270269676</c:v>
                </c:pt>
                <c:pt idx="3">
                  <c:v>2609.843025769722</c:v>
                </c:pt>
                <c:pt idx="4">
                  <c:v>414.0773225620311</c:v>
                </c:pt>
                <c:pt idx="5">
                  <c:v>1351.960179676463</c:v>
                </c:pt>
                <c:pt idx="6">
                  <c:v>6814.063825363341</c:v>
                </c:pt>
                <c:pt idx="7">
                  <c:v>926.4055515339641</c:v>
                </c:pt>
              </c:numCache>
            </c:numRef>
          </c:val>
        </c:ser>
        <c:ser>
          <c:idx val="2"/>
          <c:order val="7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Income!$B$73:$I$73</c:f>
              <c:numCache>
                <c:formatCode>#,##0</c:formatCode>
                <c:ptCount val="8"/>
                <c:pt idx="0">
                  <c:v>0.0</c:v>
                </c:pt>
                <c:pt idx="1">
                  <c:v>2481.406850293854</c:v>
                </c:pt>
                <c:pt idx="2">
                  <c:v>37840.38673597857</c:v>
                </c:pt>
                <c:pt idx="3">
                  <c:v>14996.06838683611</c:v>
                </c:pt>
                <c:pt idx="4">
                  <c:v>0.0</c:v>
                </c:pt>
                <c:pt idx="5">
                  <c:v>419.9999999999999</c:v>
                </c:pt>
                <c:pt idx="6">
                  <c:v>5252.442579698882</c:v>
                </c:pt>
                <c:pt idx="7">
                  <c:v>3241.768428563791</c:v>
                </c:pt>
              </c:numCache>
            </c:numRef>
          </c:val>
        </c:ser>
        <c:ser>
          <c:idx val="5"/>
          <c:order val="8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Income!$B$74:$I$74</c:f>
              <c:numCache>
                <c:formatCode>#,##0</c:formatCode>
                <c:ptCount val="8"/>
                <c:pt idx="0">
                  <c:v>178.1605394978578</c:v>
                </c:pt>
                <c:pt idx="1">
                  <c:v>852.700313707167</c:v>
                </c:pt>
                <c:pt idx="2">
                  <c:v>2475.971892334978</c:v>
                </c:pt>
                <c:pt idx="3">
                  <c:v>3037.783292862944</c:v>
                </c:pt>
                <c:pt idx="4">
                  <c:v>39.33105267496497</c:v>
                </c:pt>
                <c:pt idx="5">
                  <c:v>188.2437101330117</c:v>
                </c:pt>
                <c:pt idx="6">
                  <c:v>546.6001685537702</c:v>
                </c:pt>
                <c:pt idx="7">
                  <c:v>670.6267001855233</c:v>
                </c:pt>
              </c:numCache>
            </c:numRef>
          </c:val>
        </c:ser>
        <c:ser>
          <c:idx val="7"/>
          <c:order val="9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Income!$B$76:$I$76</c:f>
              <c:numCache>
                <c:formatCode>#,##0</c:formatCode>
                <c:ptCount val="8"/>
                <c:pt idx="0">
                  <c:v>1921.915804874758</c:v>
                </c:pt>
                <c:pt idx="1">
                  <c:v>14574.52818696692</c:v>
                </c:pt>
                <c:pt idx="2">
                  <c:v>42538.40314789465</c:v>
                </c:pt>
                <c:pt idx="3">
                  <c:v>48955.46647417092</c:v>
                </c:pt>
                <c:pt idx="4">
                  <c:v>758.5714285714286</c:v>
                </c:pt>
                <c:pt idx="5">
                  <c:v>4277.5</c:v>
                </c:pt>
                <c:pt idx="6">
                  <c:v>20733.12149409287</c:v>
                </c:pt>
                <c:pt idx="7">
                  <c:v>19386.80504597076</c:v>
                </c:pt>
              </c:numCache>
            </c:numRef>
          </c:val>
        </c:ser>
        <c:ser>
          <c:idx val="8"/>
          <c:order val="10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Income!$B$77:$I$77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Income!$B$78:$I$78</c:f>
              <c:numCache>
                <c:formatCode>#,##0</c:formatCode>
                <c:ptCount val="8"/>
                <c:pt idx="0">
                  <c:v>11104.40242816527</c:v>
                </c:pt>
                <c:pt idx="1">
                  <c:v>7414.324082805734</c:v>
                </c:pt>
                <c:pt idx="2">
                  <c:v>32800.69640319587</c:v>
                </c:pt>
                <c:pt idx="3">
                  <c:v>0.0</c:v>
                </c:pt>
                <c:pt idx="4">
                  <c:v>4122.857142857143</c:v>
                </c:pt>
                <c:pt idx="5">
                  <c:v>2752.800000000001</c:v>
                </c:pt>
                <c:pt idx="6">
                  <c:v>10357.02857142857</c:v>
                </c:pt>
                <c:pt idx="7">
                  <c:v>0.0</c:v>
                </c:pt>
              </c:numCache>
            </c:numRef>
          </c:val>
        </c:ser>
        <c:ser>
          <c:idx val="4"/>
          <c:order val="12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Income!$B$79:$I$79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113008.6493266358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35683.2</c:v>
                </c:pt>
              </c:numCache>
            </c:numRef>
          </c:val>
        </c:ser>
        <c:ser>
          <c:idx val="0"/>
          <c:order val="13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Income!$B$80:$I$80</c:f>
              <c:numCache>
                <c:formatCode>#,##0</c:formatCode>
                <c:ptCount val="8"/>
                <c:pt idx="0">
                  <c:v>0.0</c:v>
                </c:pt>
                <c:pt idx="1">
                  <c:v>22296.7858909537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17600.88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6"/>
          <c:order val="14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Income!$B$81:$I$81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3"/>
          <c:order val="15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Income!$B$82:$I$82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13017.77638501836</c:v>
                </c:pt>
                <c:pt idx="3">
                  <c:v>93725.42741772571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59188.8</c:v>
                </c:pt>
              </c:numCache>
            </c:numRef>
          </c:val>
        </c:ser>
        <c:ser>
          <c:idx val="9"/>
          <c:order val="16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Income!$B$83:$I$83</c:f>
              <c:numCache>
                <c:formatCode>#,##0</c:formatCode>
                <c:ptCount val="8"/>
                <c:pt idx="0">
                  <c:v>2094.712017250783</c:v>
                </c:pt>
                <c:pt idx="1">
                  <c:v>2094.712017250784</c:v>
                </c:pt>
                <c:pt idx="2">
                  <c:v>2094.712017250783</c:v>
                </c:pt>
                <c:pt idx="3">
                  <c:v>0.0</c:v>
                </c:pt>
                <c:pt idx="4">
                  <c:v>2312.162640548226</c:v>
                </c:pt>
                <c:pt idx="5">
                  <c:v>2312.162640548226</c:v>
                </c:pt>
                <c:pt idx="6">
                  <c:v>2312.162640548226</c:v>
                </c:pt>
                <c:pt idx="7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Income!$B$84:$I$84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0"/>
          <c:order val="18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Income!$B$85:$I$85</c:f>
              <c:numCache>
                <c:formatCode>#,##0</c:formatCode>
                <c:ptCount val="8"/>
                <c:pt idx="0">
                  <c:v>34543.23339961566</c:v>
                </c:pt>
                <c:pt idx="1">
                  <c:v>32916.01135148836</c:v>
                </c:pt>
                <c:pt idx="2">
                  <c:v>0.0</c:v>
                </c:pt>
                <c:pt idx="3">
                  <c:v>11390.55433689107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1"/>
          <c:order val="19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Income!$B$86:$I$86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20500.43525199742</c:v>
                </c:pt>
                <c:pt idx="3">
                  <c:v>38925.20143473011</c:v>
                </c:pt>
                <c:pt idx="4">
                  <c:v>0.0</c:v>
                </c:pt>
                <c:pt idx="5">
                  <c:v>0.0</c:v>
                </c:pt>
                <c:pt idx="6">
                  <c:v>15222.85714285714</c:v>
                </c:pt>
                <c:pt idx="7">
                  <c:v>27030.0</c:v>
                </c:pt>
              </c:numCache>
            </c:numRef>
          </c:val>
        </c:ser>
        <c:ser>
          <c:idx val="14"/>
          <c:order val="20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Income!$B$87:$I$87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76904648"/>
        <c:axId val="-2076901272"/>
      </c:barChart>
      <c:lineChart>
        <c:grouping val="standard"/>
        <c:varyColors val="0"/>
        <c:ser>
          <c:idx val="13"/>
          <c:order val="0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35969.40697206206</c:v>
                </c:pt>
                <c:pt idx="1">
                  <c:v>35969.40697206205</c:v>
                </c:pt>
                <c:pt idx="2">
                  <c:v>35969.40697206205</c:v>
                </c:pt>
                <c:pt idx="3">
                  <c:v>35969.40697206206</c:v>
                </c:pt>
              </c:numCache>
            </c:numRef>
          </c:val>
          <c:smooth val="0"/>
        </c:ser>
        <c:ser>
          <c:idx val="15"/>
          <c:order val="1"/>
          <c:tx>
            <c:strRef>
              <c:f>Income!$A$93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Income!$B$93:$I$93</c:f>
              <c:numCache>
                <c:formatCode>General</c:formatCode>
                <c:ptCount val="8"/>
                <c:pt idx="4" formatCode="#,##0">
                  <c:v>35969.40697206206</c:v>
                </c:pt>
                <c:pt idx="5" formatCode="#,##0">
                  <c:v>35969.40697206205</c:v>
                </c:pt>
                <c:pt idx="6" formatCode="#,##0">
                  <c:v>35969.40697206205</c:v>
                </c:pt>
                <c:pt idx="7" formatCode="#,##0">
                  <c:v>35969.40697206206</c:v>
                </c:pt>
              </c:numCache>
            </c:numRef>
          </c:val>
          <c:smooth val="0"/>
        </c:ser>
        <c:ser>
          <c:idx val="18"/>
          <c:order val="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54352.23363872872</c:v>
                </c:pt>
                <c:pt idx="1">
                  <c:v>54352.23363872873</c:v>
                </c:pt>
                <c:pt idx="2">
                  <c:v>54352.23363872872</c:v>
                </c:pt>
                <c:pt idx="3">
                  <c:v>54352.23363872873</c:v>
                </c:pt>
              </c:numCache>
            </c:numRef>
          </c:val>
          <c:smooth val="0"/>
        </c:ser>
        <c:ser>
          <c:idx val="19"/>
          <c:order val="4"/>
          <c:tx>
            <c:strRef>
              <c:f>Income!$A$94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Income!$B$94:$I$94</c:f>
              <c:numCache>
                <c:formatCode>General</c:formatCode>
                <c:ptCount val="8"/>
                <c:pt idx="4" formatCode="#,##0">
                  <c:v>54352.23363872872</c:v>
                </c:pt>
                <c:pt idx="5" formatCode="#,##0">
                  <c:v>54352.23363872873</c:v>
                </c:pt>
                <c:pt idx="6" formatCode="#,##0">
                  <c:v>54352.23363872872</c:v>
                </c:pt>
                <c:pt idx="7" formatCode="#,##0">
                  <c:v>54352.23363872873</c:v>
                </c:pt>
              </c:numCache>
            </c:numRef>
          </c:val>
          <c:smooth val="0"/>
        </c:ser>
        <c:ser>
          <c:idx val="20"/>
          <c:order val="5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87090.15363872873</c:v>
                </c:pt>
                <c:pt idx="1">
                  <c:v>87090.15363872871</c:v>
                </c:pt>
                <c:pt idx="2">
                  <c:v>87090.15363872873</c:v>
                </c:pt>
                <c:pt idx="3">
                  <c:v>87090.15363872871</c:v>
                </c:pt>
              </c:numCache>
            </c:numRef>
          </c:val>
          <c:smooth val="0"/>
        </c:ser>
        <c:ser>
          <c:idx val="21"/>
          <c:order val="6"/>
          <c:tx>
            <c:strRef>
              <c:f>Income!$A$95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Income!$B$95:$I$95</c:f>
              <c:numCache>
                <c:formatCode>General</c:formatCode>
                <c:ptCount val="8"/>
                <c:pt idx="4" formatCode="#,##0">
                  <c:v>87090.15363872873</c:v>
                </c:pt>
                <c:pt idx="5" formatCode="#,##0">
                  <c:v>87090.15363872871</c:v>
                </c:pt>
                <c:pt idx="6" formatCode="#,##0">
                  <c:v>87090.15363872873</c:v>
                </c:pt>
                <c:pt idx="7" formatCode="#,##0">
                  <c:v>87090.15363872871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6904648"/>
        <c:axId val="-2076901272"/>
      </c:lineChart>
      <c:catAx>
        <c:axId val="-2076904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769012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769012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Cash income today's prices, Hhs size = 'Poor')</a:t>
                </a:r>
              </a:p>
            </c:rich>
          </c:tx>
          <c:layout>
            <c:manualLayout>
              <c:xMode val="edge"/>
              <c:yMode val="edge"/>
              <c:x val="0.0165335291637768"/>
              <c:y val="0.13865907005526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7690464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egendEntry>
        <c:idx val="16"/>
        <c:delete val="1"/>
      </c:legendEntry>
      <c:legendEntry>
        <c:idx val="18"/>
        <c:delete val="1"/>
      </c:legendEntry>
      <c:legendEntry>
        <c:idx val="20"/>
        <c:delete val="1"/>
      </c:legendEntry>
      <c:layout>
        <c:manualLayout>
          <c:xMode val="edge"/>
          <c:yMode val="edge"/>
          <c:x val="0.0889954170236492"/>
          <c:y val="0.792363271664213"/>
          <c:w val="0.825463261392844"/>
          <c:h val="0.19950664703497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>
                <a:latin typeface="Helvetica Light"/>
                <a:cs typeface="Helvetica Light"/>
              </a:defRPr>
            </a:pPr>
            <a:r>
              <a:rPr lang="en-US" sz="1400" b="0" i="0">
                <a:latin typeface="Helvetica Light"/>
                <a:cs typeface="Helvetica Light"/>
              </a:rPr>
              <a:t>ZAKHC - Baseline Total Income</a:t>
            </a:r>
          </a:p>
        </c:rich>
      </c:tx>
      <c:layout>
        <c:manualLayout>
          <c:xMode val="edge"/>
          <c:yMode val="edge"/>
          <c:x val="0.246303382138332"/>
          <c:y val="0.0145348837209302"/>
        </c:manualLayout>
      </c:layout>
      <c:overlay val="0"/>
      <c:spPr>
        <a:solidFill>
          <a:srgbClr val="FFFFFF"/>
        </a:solidFill>
        <a:ln w="3175" cmpd="sng">
          <a:solidFill>
            <a:srgbClr val="000000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20297191111981"/>
          <c:y val="0.0347394540942928"/>
          <c:w val="0.568554963238291"/>
          <c:h val="0.90951108438414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Income!$B$72:$E$72</c:f>
              <c:numCache>
                <c:formatCode>#,##0</c:formatCode>
                <c:ptCount val="4"/>
                <c:pt idx="0">
                  <c:v>1471.286595974585</c:v>
                </c:pt>
                <c:pt idx="1">
                  <c:v>4042.401206537601</c:v>
                </c:pt>
                <c:pt idx="2">
                  <c:v>3726.381270269676</c:v>
                </c:pt>
                <c:pt idx="3">
                  <c:v>2609.843025769722</c:v>
                </c:pt>
              </c:numCache>
            </c:numRef>
          </c:val>
        </c:ser>
        <c:ser>
          <c:idx val="2"/>
          <c:order val="1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Income!$B$73:$E$73</c:f>
              <c:numCache>
                <c:formatCode>#,##0</c:formatCode>
                <c:ptCount val="4"/>
                <c:pt idx="0">
                  <c:v>0.0</c:v>
                </c:pt>
                <c:pt idx="1">
                  <c:v>2481.406850293854</c:v>
                </c:pt>
                <c:pt idx="2">
                  <c:v>37840.38673597857</c:v>
                </c:pt>
                <c:pt idx="3">
                  <c:v>14996.06838683611</c:v>
                </c:pt>
              </c:numCache>
            </c:numRef>
          </c:val>
        </c:ser>
        <c:ser>
          <c:idx val="5"/>
          <c:order val="2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Income!$B$74:$E$74</c:f>
              <c:numCache>
                <c:formatCode>#,##0</c:formatCode>
                <c:ptCount val="4"/>
                <c:pt idx="0">
                  <c:v>178.1605394978578</c:v>
                </c:pt>
                <c:pt idx="1">
                  <c:v>852.700313707167</c:v>
                </c:pt>
                <c:pt idx="2">
                  <c:v>2475.971892334978</c:v>
                </c:pt>
                <c:pt idx="3">
                  <c:v>3037.783292862944</c:v>
                </c:pt>
              </c:numCache>
            </c:numRef>
          </c:val>
        </c:ser>
        <c:ser>
          <c:idx val="7"/>
          <c:order val="3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Income!$B$76:$E$76</c:f>
              <c:numCache>
                <c:formatCode>#,##0</c:formatCode>
                <c:ptCount val="4"/>
                <c:pt idx="0">
                  <c:v>1921.915804874758</c:v>
                </c:pt>
                <c:pt idx="1">
                  <c:v>14574.52818696692</c:v>
                </c:pt>
                <c:pt idx="2">
                  <c:v>42538.40314789465</c:v>
                </c:pt>
                <c:pt idx="3">
                  <c:v>48955.46647417092</c:v>
                </c:pt>
              </c:numCache>
            </c:numRef>
          </c:val>
        </c:ser>
        <c:ser>
          <c:idx val="8"/>
          <c:order val="4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Income!$B$77:$E$77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5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Income!$B$78:$E$78</c:f>
              <c:numCache>
                <c:formatCode>#,##0</c:formatCode>
                <c:ptCount val="4"/>
                <c:pt idx="0">
                  <c:v>11104.40242816527</c:v>
                </c:pt>
                <c:pt idx="1">
                  <c:v>7414.324082805734</c:v>
                </c:pt>
                <c:pt idx="2">
                  <c:v>32800.69640319587</c:v>
                </c:pt>
                <c:pt idx="3">
                  <c:v>0.0</c:v>
                </c:pt>
              </c:numCache>
            </c:numRef>
          </c:val>
        </c:ser>
        <c:ser>
          <c:idx val="11"/>
          <c:order val="6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>
                <a:alpha val="97255"/>
              </a:srgb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Income!$B$79:$E$79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113008.6493266358</c:v>
                </c:pt>
              </c:numCache>
            </c:numRef>
          </c:val>
        </c:ser>
        <c:ser>
          <c:idx val="0"/>
          <c:order val="7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Income!$B$80:$E$80</c:f>
              <c:numCache>
                <c:formatCode>#,##0</c:formatCode>
                <c:ptCount val="4"/>
                <c:pt idx="0">
                  <c:v>0.0</c:v>
                </c:pt>
                <c:pt idx="1">
                  <c:v>22296.7858909537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5"/>
          <c:order val="8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Income!$B$81:$E$81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9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Income!$B$82:$E$82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13017.77638501836</c:v>
                </c:pt>
                <c:pt idx="3">
                  <c:v>93725.42741772571</c:v>
                </c:pt>
              </c:numCache>
            </c:numRef>
          </c:val>
        </c:ser>
        <c:ser>
          <c:idx val="4"/>
          <c:order val="10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Income!$B$83:$E$83</c:f>
              <c:numCache>
                <c:formatCode>#,##0</c:formatCode>
                <c:ptCount val="4"/>
                <c:pt idx="0">
                  <c:v>2094.712017250783</c:v>
                </c:pt>
                <c:pt idx="1">
                  <c:v>2094.712017250784</c:v>
                </c:pt>
                <c:pt idx="2">
                  <c:v>2094.712017250783</c:v>
                </c:pt>
                <c:pt idx="3">
                  <c:v>0.0</c:v>
                </c:pt>
              </c:numCache>
            </c:numRef>
          </c:val>
        </c:ser>
        <c:ser>
          <c:idx val="6"/>
          <c:order val="11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Income!$B$84:$E$84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Income!$B$85:$E$85</c:f>
              <c:numCache>
                <c:formatCode>#,##0</c:formatCode>
                <c:ptCount val="4"/>
                <c:pt idx="0">
                  <c:v>34543.23339961566</c:v>
                </c:pt>
                <c:pt idx="1">
                  <c:v>32916.01135148836</c:v>
                </c:pt>
                <c:pt idx="2">
                  <c:v>0.0</c:v>
                </c:pt>
                <c:pt idx="3">
                  <c:v>11390.55433689107</c:v>
                </c:pt>
              </c:numCache>
            </c:numRef>
          </c:val>
        </c:ser>
        <c:ser>
          <c:idx val="12"/>
          <c:order val="13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Income!$B$86:$E$86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20500.43525199742</c:v>
                </c:pt>
                <c:pt idx="3">
                  <c:v>38925.20143473011</c:v>
                </c:pt>
              </c:numCache>
            </c:numRef>
          </c:val>
        </c:ser>
        <c:ser>
          <c:idx val="17"/>
          <c:order val="14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48A54"/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Income!$B$87:$E$87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76779736"/>
        <c:axId val="-2076776504"/>
      </c:barChart>
      <c:lineChart>
        <c:grouping val="standard"/>
        <c:varyColors val="0"/>
        <c:ser>
          <c:idx val="13"/>
          <c:order val="15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905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35969.40697206206</c:v>
                </c:pt>
                <c:pt idx="1">
                  <c:v>35969.40697206205</c:v>
                </c:pt>
                <c:pt idx="2">
                  <c:v>35969.40697206205</c:v>
                </c:pt>
                <c:pt idx="3">
                  <c:v>35969.40697206206</c:v>
                </c:pt>
              </c:numCache>
            </c:numRef>
          </c:val>
          <c:smooth val="0"/>
        </c:ser>
        <c:ser>
          <c:idx val="14"/>
          <c:order val="16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22225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54352.23363872872</c:v>
                </c:pt>
                <c:pt idx="1">
                  <c:v>54352.23363872873</c:v>
                </c:pt>
                <c:pt idx="2">
                  <c:v>54352.23363872872</c:v>
                </c:pt>
                <c:pt idx="3">
                  <c:v>54352.23363872873</c:v>
                </c:pt>
              </c:numCache>
            </c:numRef>
          </c:val>
          <c:smooth val="0"/>
        </c:ser>
        <c:ser>
          <c:idx val="16"/>
          <c:order val="17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22225">
              <a:solidFill>
                <a:srgbClr val="723F95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87090.15363872873</c:v>
                </c:pt>
                <c:pt idx="1">
                  <c:v>87090.15363872871</c:v>
                </c:pt>
                <c:pt idx="2">
                  <c:v>87090.15363872873</c:v>
                </c:pt>
                <c:pt idx="3">
                  <c:v>87090.15363872871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6779736"/>
        <c:axId val="-2076776504"/>
      </c:lineChart>
      <c:catAx>
        <c:axId val="-2076779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767765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767765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Annual total income (ZAR)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5015296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7677973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6354859919496"/>
          <c:y val="0.0382165605095541"/>
          <c:w val="0.278513719389964"/>
          <c:h val="0.780701794543124"/>
        </c:manualLayout>
      </c:layout>
      <c:overlay val="0"/>
      <c:spPr>
        <a:noFill/>
        <a:ln w="3175" cmpd="sng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chemeClr val="tx1"/>
      </a:solidFill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197836166925"/>
          <c:y val="0.0347394540942928"/>
          <c:w val="0.727975270479137"/>
          <c:h val="0.7344913151364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Percentiles!$P$3:$Y$3</c:f>
              <c:numCache>
                <c:formatCode>0</c:formatCode>
                <c:ptCount val="10"/>
                <c:pt idx="0">
                  <c:v>1471.286595974585</c:v>
                </c:pt>
                <c:pt idx="1">
                  <c:v>1471.286595974585</c:v>
                </c:pt>
                <c:pt idx="2">
                  <c:v>1471.286595974585</c:v>
                </c:pt>
                <c:pt idx="3">
                  <c:v>1471.286595974585</c:v>
                </c:pt>
                <c:pt idx="4">
                  <c:v>1471.286595974585</c:v>
                </c:pt>
                <c:pt idx="5">
                  <c:v>1471.286595974585</c:v>
                </c:pt>
                <c:pt idx="6">
                  <c:v>1471.286595974585</c:v>
                </c:pt>
                <c:pt idx="7">
                  <c:v>1471.286595974585</c:v>
                </c:pt>
                <c:pt idx="8">
                  <c:v>1471.286595974585</c:v>
                </c:pt>
                <c:pt idx="9">
                  <c:v>1471.286595974585</c:v>
                </c:pt>
              </c:numCache>
            </c:numRef>
          </c:val>
        </c:ser>
        <c:ser>
          <c:idx val="2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D7E4B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Percentiles!$P$4:$Y$4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5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Percentiles!$P$5:$Y$5</c:f>
              <c:numCache>
                <c:formatCode>0</c:formatCode>
                <c:ptCount val="10"/>
                <c:pt idx="0">
                  <c:v>178.1605394978578</c:v>
                </c:pt>
                <c:pt idx="1">
                  <c:v>178.1605394978578</c:v>
                </c:pt>
                <c:pt idx="2">
                  <c:v>178.1605394978578</c:v>
                </c:pt>
                <c:pt idx="3">
                  <c:v>178.1605394978578</c:v>
                </c:pt>
                <c:pt idx="4">
                  <c:v>178.1605394978578</c:v>
                </c:pt>
                <c:pt idx="5">
                  <c:v>178.1605394978578</c:v>
                </c:pt>
                <c:pt idx="6">
                  <c:v>178.1605394978578</c:v>
                </c:pt>
                <c:pt idx="7">
                  <c:v>178.1605394978578</c:v>
                </c:pt>
                <c:pt idx="8">
                  <c:v>178.1605394978578</c:v>
                </c:pt>
                <c:pt idx="9">
                  <c:v>178.1605394978578</c:v>
                </c:pt>
              </c:numCache>
            </c:numRef>
          </c:val>
        </c:ser>
        <c:ser>
          <c:idx val="6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E6B9B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Percentiles!$P$6:$Y$6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7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CC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Percentiles!$P$7:$Y$7</c:f>
              <c:numCache>
                <c:formatCode>0</c:formatCode>
                <c:ptCount val="10"/>
                <c:pt idx="0">
                  <c:v>1921.915804874758</c:v>
                </c:pt>
                <c:pt idx="1">
                  <c:v>1921.915804874758</c:v>
                </c:pt>
                <c:pt idx="2">
                  <c:v>1921.915804874758</c:v>
                </c:pt>
                <c:pt idx="3">
                  <c:v>1921.915804874758</c:v>
                </c:pt>
                <c:pt idx="4">
                  <c:v>1921.915804874758</c:v>
                </c:pt>
                <c:pt idx="5">
                  <c:v>1921.915804874758</c:v>
                </c:pt>
                <c:pt idx="6">
                  <c:v>1921.915804874758</c:v>
                </c:pt>
                <c:pt idx="7">
                  <c:v>1921.915804874758</c:v>
                </c:pt>
                <c:pt idx="8">
                  <c:v>1921.915804874758</c:v>
                </c:pt>
                <c:pt idx="9">
                  <c:v>1921.915804874758</c:v>
                </c:pt>
              </c:numCache>
            </c:numRef>
          </c:val>
        </c:ser>
        <c:ser>
          <c:idx val="8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9900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Percentiles!$F$8:$O$8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9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FF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Percentiles!$F$9:$O$9</c:f>
              <c:numCache>
                <c:formatCode>0</c:formatCode>
                <c:ptCount val="10"/>
                <c:pt idx="0">
                  <c:v>11104.40242816527</c:v>
                </c:pt>
                <c:pt idx="1">
                  <c:v>11104.40242816527</c:v>
                </c:pt>
                <c:pt idx="2">
                  <c:v>11104.40242816527</c:v>
                </c:pt>
                <c:pt idx="3">
                  <c:v>11104.40242816527</c:v>
                </c:pt>
                <c:pt idx="4">
                  <c:v>11104.40242816527</c:v>
                </c:pt>
                <c:pt idx="5">
                  <c:v>11104.40242816527</c:v>
                </c:pt>
                <c:pt idx="6">
                  <c:v>11104.40242816527</c:v>
                </c:pt>
                <c:pt idx="7">
                  <c:v>11104.40242816527</c:v>
                </c:pt>
                <c:pt idx="8">
                  <c:v>11104.40242816527</c:v>
                </c:pt>
                <c:pt idx="9">
                  <c:v>11104.40242816527</c:v>
                </c:pt>
              </c:numCache>
            </c:numRef>
          </c:val>
        </c:ser>
        <c:ser>
          <c:idx val="11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FFC000">
                <a:alpha val="98431"/>
              </a:srgb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Percentiles!$F$10:$O$10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A6A6A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Percentiles!$F$11:$O$11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3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B7DEE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Percentiles!$F$12:$O$12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4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3C8DA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Percentiles!$F$13:$O$13</c:f>
              <c:numCache>
                <c:formatCode>0</c:formatCode>
                <c:ptCount val="10"/>
                <c:pt idx="0">
                  <c:v>2094.712017250783</c:v>
                </c:pt>
                <c:pt idx="1">
                  <c:v>2094.712017250783</c:v>
                </c:pt>
                <c:pt idx="2">
                  <c:v>2094.712017250783</c:v>
                </c:pt>
                <c:pt idx="3">
                  <c:v>2094.712017250783</c:v>
                </c:pt>
                <c:pt idx="4">
                  <c:v>2094.712017250783</c:v>
                </c:pt>
                <c:pt idx="5">
                  <c:v>2094.712017250783</c:v>
                </c:pt>
                <c:pt idx="6">
                  <c:v>2094.712017250783</c:v>
                </c:pt>
                <c:pt idx="7">
                  <c:v>2094.712017250783</c:v>
                </c:pt>
                <c:pt idx="8">
                  <c:v>2094.712017250783</c:v>
                </c:pt>
                <c:pt idx="9">
                  <c:v>2094.712017250783</c:v>
                </c:pt>
              </c:numCache>
            </c:numRef>
          </c:val>
        </c:ser>
        <c:ser>
          <c:idx val="10"/>
          <c:order val="11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4BACC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Percentiles!$F$15:$O$15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76686392"/>
        <c:axId val="-2076683112"/>
      </c:barChart>
      <c:lineChart>
        <c:grouping val="standard"/>
        <c:varyColors val="0"/>
        <c:ser>
          <c:idx val="13"/>
          <c:order val="12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35969.40697206206</c:v>
                </c:pt>
                <c:pt idx="1">
                  <c:v>35969.40697206205</c:v>
                </c:pt>
                <c:pt idx="2">
                  <c:v>35969.40697206205</c:v>
                </c:pt>
                <c:pt idx="3">
                  <c:v>35969.40697206206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54352.23363872872</c:v>
                </c:pt>
                <c:pt idx="1">
                  <c:v>54352.23363872873</c:v>
                </c:pt>
                <c:pt idx="2">
                  <c:v>54352.23363872872</c:v>
                </c:pt>
                <c:pt idx="3">
                  <c:v>54352.23363872873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6686392"/>
        <c:axId val="-2076683112"/>
      </c:lineChart>
      <c:catAx>
        <c:axId val="-2076686392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766831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766831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Cash income (nominal)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6496712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7668639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88798370672098"/>
          <c:y val="0.821780878875289"/>
          <c:w val="0.804481293198839"/>
          <c:h val="0.16501624178165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>
                <a:latin typeface="Helvetica Light"/>
                <a:cs typeface="Helvetica Light"/>
              </a:defRPr>
            </a:pPr>
            <a:r>
              <a:rPr lang="en-US" sz="1300" b="0" i="0">
                <a:latin typeface="Helvetica Light"/>
                <a:cs typeface="Helvetica Light"/>
              </a:rPr>
              <a:t>ZAKHC - Affected Area without Grants</a:t>
            </a:r>
          </a:p>
        </c:rich>
      </c:tx>
      <c:layout>
        <c:manualLayout>
          <c:xMode val="edge"/>
          <c:yMode val="edge"/>
          <c:x val="0.342624535922647"/>
          <c:y val="0.0301363549068562"/>
        </c:manualLayout>
      </c:layout>
      <c:overlay val="1"/>
      <c:spPr>
        <a:solidFill>
          <a:schemeClr val="bg1"/>
        </a:solidFill>
        <a:ln w="3175" cmpd="sng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0997886663130839"/>
          <c:y val="0.0491059044448712"/>
          <c:w val="0.837439924931663"/>
          <c:h val="0.680472014168961"/>
        </c:manualLayout>
      </c:layout>
      <c:barChart>
        <c:barDir val="col"/>
        <c:grouping val="stacked"/>
        <c:varyColors val="0"/>
        <c:ser>
          <c:idx val="1"/>
          <c:order val="2"/>
          <c:tx>
            <c:strRef>
              <c:f>Income!$A$102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Income!$B$102:$I$102</c:f>
              <c:numCache>
                <c:formatCode>#,##0</c:formatCode>
                <c:ptCount val="8"/>
                <c:pt idx="0">
                  <c:v>984.254455906166</c:v>
                </c:pt>
                <c:pt idx="1">
                  <c:v>2704.266735645449</c:v>
                </c:pt>
                <c:pt idx="2">
                  <c:v>2492.85719023268</c:v>
                </c:pt>
                <c:pt idx="3">
                  <c:v>1745.920634604798</c:v>
                </c:pt>
                <c:pt idx="4">
                  <c:v>414.0773225620311</c:v>
                </c:pt>
                <c:pt idx="5">
                  <c:v>1351.960179676463</c:v>
                </c:pt>
                <c:pt idx="6">
                  <c:v>6814.063825363341</c:v>
                </c:pt>
                <c:pt idx="7">
                  <c:v>926.4055515339641</c:v>
                </c:pt>
              </c:numCache>
            </c:numRef>
          </c:val>
        </c:ser>
        <c:ser>
          <c:idx val="2"/>
          <c:order val="7"/>
          <c:tx>
            <c:strRef>
              <c:f>Income!$A$103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Income!$B$103:$I$103</c:f>
              <c:numCache>
                <c:formatCode>#,##0</c:formatCode>
                <c:ptCount val="8"/>
                <c:pt idx="0">
                  <c:v>0.0</c:v>
                </c:pt>
                <c:pt idx="1">
                  <c:v>1660.0</c:v>
                </c:pt>
                <c:pt idx="2">
                  <c:v>25314.28571428571</c:v>
                </c:pt>
                <c:pt idx="3">
                  <c:v>10032.0</c:v>
                </c:pt>
                <c:pt idx="4">
                  <c:v>0.0</c:v>
                </c:pt>
                <c:pt idx="5">
                  <c:v>419.9999999999999</c:v>
                </c:pt>
                <c:pt idx="6">
                  <c:v>5252.442579698882</c:v>
                </c:pt>
                <c:pt idx="7">
                  <c:v>3241.768428563791</c:v>
                </c:pt>
              </c:numCache>
            </c:numRef>
          </c:val>
        </c:ser>
        <c:ser>
          <c:idx val="5"/>
          <c:order val="8"/>
          <c:tx>
            <c:strRef>
              <c:f>Income!$A$104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Income!$B$104:$I$104</c:f>
              <c:numCache>
                <c:formatCode>#,##0</c:formatCode>
                <c:ptCount val="8"/>
                <c:pt idx="0">
                  <c:v>119.1850081059545</c:v>
                </c:pt>
                <c:pt idx="1">
                  <c:v>570.4354852515507</c:v>
                </c:pt>
                <c:pt idx="2">
                  <c:v>1656.364147132637</c:v>
                </c:pt>
                <c:pt idx="3">
                  <c:v>2032.202121774313</c:v>
                </c:pt>
                <c:pt idx="4">
                  <c:v>39.33105267496497</c:v>
                </c:pt>
                <c:pt idx="5">
                  <c:v>188.2437101330117</c:v>
                </c:pt>
                <c:pt idx="6">
                  <c:v>546.6001685537702</c:v>
                </c:pt>
                <c:pt idx="7">
                  <c:v>670.6267001855233</c:v>
                </c:pt>
              </c:numCache>
            </c:numRef>
          </c:val>
        </c:ser>
        <c:ser>
          <c:idx val="7"/>
          <c:order val="9"/>
          <c:tx>
            <c:strRef>
              <c:f>Income!$A$106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Income!$B$106:$I$106</c:f>
              <c:numCache>
                <c:formatCode>#,##0</c:formatCode>
                <c:ptCount val="8"/>
                <c:pt idx="0">
                  <c:v>1285.714285714286</c:v>
                </c:pt>
                <c:pt idx="1">
                  <c:v>9750.0</c:v>
                </c:pt>
                <c:pt idx="2">
                  <c:v>28457.14285714286</c:v>
                </c:pt>
                <c:pt idx="3">
                  <c:v>32750.0</c:v>
                </c:pt>
                <c:pt idx="4">
                  <c:v>758.5714285714286</c:v>
                </c:pt>
                <c:pt idx="5">
                  <c:v>4277.5</c:v>
                </c:pt>
                <c:pt idx="6">
                  <c:v>20733.12149409287</c:v>
                </c:pt>
                <c:pt idx="7">
                  <c:v>19386.80504597076</c:v>
                </c:pt>
              </c:numCache>
            </c:numRef>
          </c:val>
        </c:ser>
        <c:ser>
          <c:idx val="8"/>
          <c:order val="10"/>
          <c:tx>
            <c:strRef>
              <c:f>Income!$A$107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Income!$B$107:$I$107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Income!$A$108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Income!$B$108:$I$108</c:f>
              <c:numCache>
                <c:formatCode>#,##0</c:formatCode>
                <c:ptCount val="8"/>
                <c:pt idx="0">
                  <c:v>7428.571428571428</c:v>
                </c:pt>
                <c:pt idx="1">
                  <c:v>4960.0</c:v>
                </c:pt>
                <c:pt idx="2">
                  <c:v>0.0</c:v>
                </c:pt>
                <c:pt idx="3">
                  <c:v>0.0</c:v>
                </c:pt>
                <c:pt idx="4">
                  <c:v>4122.857142857143</c:v>
                </c:pt>
                <c:pt idx="5">
                  <c:v>2752.800000000001</c:v>
                </c:pt>
                <c:pt idx="6">
                  <c:v>10357.02857142857</c:v>
                </c:pt>
                <c:pt idx="7">
                  <c:v>0.0</c:v>
                </c:pt>
              </c:numCache>
            </c:numRef>
          </c:val>
        </c:ser>
        <c:ser>
          <c:idx val="4"/>
          <c:order val="12"/>
          <c:tx>
            <c:strRef>
              <c:f>Income!$A$109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Income!$B$109:$I$109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21942.85714285714</c:v>
                </c:pt>
                <c:pt idx="3">
                  <c:v>75600.0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35683.2</c:v>
                </c:pt>
              </c:numCache>
            </c:numRef>
          </c:val>
        </c:ser>
        <c:ser>
          <c:idx val="0"/>
          <c:order val="13"/>
          <c:tx>
            <c:strRef>
              <c:f>Income!$A$110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Income!$B$110:$I$110</c:f>
              <c:numCache>
                <c:formatCode>#,##0</c:formatCode>
                <c:ptCount val="8"/>
                <c:pt idx="0">
                  <c:v>0.0</c:v>
                </c:pt>
                <c:pt idx="1">
                  <c:v>14916.0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17600.88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6"/>
          <c:order val="14"/>
          <c:tx>
            <c:strRef>
              <c:f>Income!$A$111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Income!$B$111:$I$111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3"/>
          <c:order val="15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Income!$B$112:$I$112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62700.0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59188.8</c:v>
                </c:pt>
              </c:numCache>
            </c:numRef>
          </c:val>
        </c:ser>
        <c:ser>
          <c:idx val="9"/>
          <c:order val="16"/>
          <c:tx>
            <c:strRef>
              <c:f>Income!$A$113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Income!$B$113:$I$113</c:f>
              <c:numCache>
                <c:formatCode>#,##0</c:formatCode>
                <c:ptCount val="8"/>
                <c:pt idx="0">
                  <c:v>1401.310691241349</c:v>
                </c:pt>
                <c:pt idx="1">
                  <c:v>1401.310691241349</c:v>
                </c:pt>
                <c:pt idx="2">
                  <c:v>1401.310691241349</c:v>
                </c:pt>
                <c:pt idx="3">
                  <c:v>0.0</c:v>
                </c:pt>
                <c:pt idx="4">
                  <c:v>2312.162640548226</c:v>
                </c:pt>
                <c:pt idx="5">
                  <c:v>2312.162640548226</c:v>
                </c:pt>
                <c:pt idx="6">
                  <c:v>2312.162640548226</c:v>
                </c:pt>
                <c:pt idx="7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Income!$A$114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Income!$B$114:$I$114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0"/>
          <c:order val="18"/>
          <c:tx>
            <c:strRef>
              <c:f>Income!$A$115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Income!$B$115:$I$115</c:f>
              <c:numCache>
                <c:formatCode>#,##0</c:formatCode>
                <c:ptCount val="8"/>
                <c:pt idx="0">
                  <c:v>23108.57142857143</c:v>
                </c:pt>
                <c:pt idx="1">
                  <c:v>22020.0</c:v>
                </c:pt>
                <c:pt idx="2">
                  <c:v>8708.57142857143</c:v>
                </c:pt>
                <c:pt idx="3">
                  <c:v>7620.0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1"/>
          <c:order val="19"/>
          <c:tx>
            <c:strRef>
              <c:f>Income!$A$116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Income!$B$116:$I$116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13714.28571428571</c:v>
                </c:pt>
                <c:pt idx="3">
                  <c:v>26040.0</c:v>
                </c:pt>
                <c:pt idx="4">
                  <c:v>0.0</c:v>
                </c:pt>
                <c:pt idx="5">
                  <c:v>0.0</c:v>
                </c:pt>
                <c:pt idx="6">
                  <c:v>15222.85714285714</c:v>
                </c:pt>
                <c:pt idx="7">
                  <c:v>27030.0</c:v>
                </c:pt>
              </c:numCache>
            </c:numRef>
          </c:val>
        </c:ser>
        <c:ser>
          <c:idx val="14"/>
          <c:order val="20"/>
          <c:tx>
            <c:strRef>
              <c:f>Income!$A$117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Income!$B$117:$I$117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85695784"/>
        <c:axId val="-2085890600"/>
      </c:barChart>
      <c:lineChart>
        <c:grouping val="standard"/>
        <c:varyColors val="0"/>
        <c:ser>
          <c:idx val="13"/>
          <c:order val="0"/>
          <c:tx>
            <c:strRef>
              <c:f>Income!$A$119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Income!$B$119:$E$119</c:f>
              <c:numCache>
                <c:formatCode>#,##0</c:formatCode>
                <c:ptCount val="4"/>
                <c:pt idx="0">
                  <c:v>24062.6463840672</c:v>
                </c:pt>
                <c:pt idx="1">
                  <c:v>24062.6463840672</c:v>
                </c:pt>
                <c:pt idx="2">
                  <c:v>24062.6463840672</c:v>
                </c:pt>
                <c:pt idx="3">
                  <c:v>24062.64638406721</c:v>
                </c:pt>
              </c:numCache>
            </c:numRef>
          </c:val>
          <c:smooth val="0"/>
        </c:ser>
        <c:ser>
          <c:idx val="15"/>
          <c:order val="1"/>
          <c:tx>
            <c:strRef>
              <c:f>Income!$A$123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Income!$B$123:$I$123</c:f>
              <c:numCache>
                <c:formatCode>General</c:formatCode>
                <c:ptCount val="8"/>
                <c:pt idx="4" formatCode="#,##0">
                  <c:v>35969.40697206206</c:v>
                </c:pt>
                <c:pt idx="5" formatCode="#,##0">
                  <c:v>35969.40697206205</c:v>
                </c:pt>
                <c:pt idx="6" formatCode="#,##0">
                  <c:v>35969.40697206205</c:v>
                </c:pt>
                <c:pt idx="7" formatCode="#,##0">
                  <c:v>35969.40697206206</c:v>
                </c:pt>
              </c:numCache>
            </c:numRef>
          </c:val>
          <c:smooth val="0"/>
        </c:ser>
        <c:ser>
          <c:idx val="18"/>
          <c:order val="3"/>
          <c:tx>
            <c:strRef>
              <c:f>Income!$A$120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Income!$B$120:$E$120</c:f>
              <c:numCache>
                <c:formatCode>#,##0</c:formatCode>
                <c:ptCount val="4"/>
                <c:pt idx="0">
                  <c:v>42445.47305073387</c:v>
                </c:pt>
                <c:pt idx="1">
                  <c:v>42445.47305073388</c:v>
                </c:pt>
                <c:pt idx="2">
                  <c:v>42445.47305073387</c:v>
                </c:pt>
                <c:pt idx="3">
                  <c:v>42445.47305073388</c:v>
                </c:pt>
              </c:numCache>
            </c:numRef>
          </c:val>
          <c:smooth val="0"/>
        </c:ser>
        <c:ser>
          <c:idx val="19"/>
          <c:order val="4"/>
          <c:tx>
            <c:strRef>
              <c:f>Income!$A$124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Income!$B$124:$I$124</c:f>
              <c:numCache>
                <c:formatCode>General</c:formatCode>
                <c:ptCount val="8"/>
                <c:pt idx="4" formatCode="#,##0">
                  <c:v>54352.23363872872</c:v>
                </c:pt>
                <c:pt idx="5" formatCode="#,##0">
                  <c:v>54352.23363872873</c:v>
                </c:pt>
                <c:pt idx="6" formatCode="#,##0">
                  <c:v>54352.23363872872</c:v>
                </c:pt>
                <c:pt idx="7" formatCode="#,##0">
                  <c:v>54352.23363872873</c:v>
                </c:pt>
              </c:numCache>
            </c:numRef>
          </c:val>
          <c:smooth val="0"/>
        </c:ser>
        <c:ser>
          <c:idx val="20"/>
          <c:order val="5"/>
          <c:tx>
            <c:strRef>
              <c:f>Income!$A$121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Income!$B$121:$E$121</c:f>
              <c:numCache>
                <c:formatCode>#,##0</c:formatCode>
                <c:ptCount val="4"/>
                <c:pt idx="0">
                  <c:v>75183.39305073386</c:v>
                </c:pt>
                <c:pt idx="1">
                  <c:v>75183.39305073388</c:v>
                </c:pt>
                <c:pt idx="2">
                  <c:v>75183.39305073386</c:v>
                </c:pt>
                <c:pt idx="3">
                  <c:v>75183.39305073388</c:v>
                </c:pt>
              </c:numCache>
            </c:numRef>
          </c:val>
          <c:smooth val="0"/>
        </c:ser>
        <c:ser>
          <c:idx val="21"/>
          <c:order val="6"/>
          <c:tx>
            <c:strRef>
              <c:f>Income!$A$125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Income!$B$125:$I$125</c:f>
              <c:numCache>
                <c:formatCode>General</c:formatCode>
                <c:ptCount val="8"/>
                <c:pt idx="4" formatCode="#,##0">
                  <c:v>87090.15363872873</c:v>
                </c:pt>
                <c:pt idx="5" formatCode="#,##0">
                  <c:v>87090.15363872871</c:v>
                </c:pt>
                <c:pt idx="6" formatCode="#,##0">
                  <c:v>87090.15363872873</c:v>
                </c:pt>
                <c:pt idx="7" formatCode="#,##0">
                  <c:v>87090.15363872871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5695784"/>
        <c:axId val="-2085890600"/>
      </c:lineChart>
      <c:catAx>
        <c:axId val="-2085695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858906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858906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Cash income today's prices, Hhs size = 'Poor')</a:t>
                </a:r>
              </a:p>
            </c:rich>
          </c:tx>
          <c:layout>
            <c:manualLayout>
              <c:xMode val="edge"/>
              <c:yMode val="edge"/>
              <c:x val="0.0165335291637768"/>
              <c:y val="0.13865907005526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8569578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egendEntry>
        <c:idx val="16"/>
        <c:delete val="1"/>
      </c:legendEntry>
      <c:legendEntry>
        <c:idx val="18"/>
        <c:delete val="1"/>
      </c:legendEntry>
      <c:legendEntry>
        <c:idx val="20"/>
        <c:delete val="1"/>
      </c:legendEntry>
      <c:layout>
        <c:manualLayout>
          <c:xMode val="edge"/>
          <c:yMode val="edge"/>
          <c:x val="0.0889954170236492"/>
          <c:y val="0.792363271664213"/>
          <c:w val="0.825463261392844"/>
          <c:h val="0.19950664703497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chemeClr val="tx1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Poor!$K$70:$M$70</c:f>
              <c:numCache>
                <c:formatCode>0%</c:formatCode>
                <c:ptCount val="3"/>
                <c:pt idx="0">
                  <c:v>0.280190564788116</c:v>
                </c:pt>
                <c:pt idx="1">
                  <c:v>0.392266790703362</c:v>
                </c:pt>
                <c:pt idx="2">
                  <c:v>0.392266790703362</c:v>
                </c:pt>
              </c:numCache>
            </c:numRef>
          </c:val>
        </c:ser>
        <c:ser>
          <c:idx val="2"/>
          <c:order val="1"/>
          <c:tx>
            <c:strRef>
              <c:f>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Poor!$K$71:$M$71</c:f>
              <c:numCache>
                <c:formatCode>0%</c:formatCode>
                <c:ptCount val="3"/>
                <c:pt idx="0">
                  <c:v>0.292249778011231</c:v>
                </c:pt>
                <c:pt idx="1">
                  <c:v>0.10619454573156</c:v>
                </c:pt>
                <c:pt idx="2">
                  <c:v>0.0776836839148793</c:v>
                </c:pt>
              </c:numCache>
            </c:numRef>
          </c:val>
        </c:ser>
        <c:ser>
          <c:idx val="1"/>
          <c:order val="2"/>
          <c:tx>
            <c:strRef>
              <c:f>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Poor!$K$72:$M$72</c:f>
              <c:numCache>
                <c:formatCode>0%</c:formatCode>
                <c:ptCount val="3"/>
                <c:pt idx="0">
                  <c:v>0.520466739203842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Poor!$K$73:$M$73</c:f>
              <c:numCache>
                <c:formatCode>0%</c:formatCode>
                <c:ptCount val="3"/>
                <c:pt idx="0">
                  <c:v>0.0873447641916482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Poor!$A$75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val>
            <c:numRef>
              <c:f>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Poor!$K$74:$M$74</c:f>
              <c:numCache>
                <c:formatCode>0%</c:formatCode>
                <c:ptCount val="3"/>
                <c:pt idx="0">
                  <c:v>0.13019172325817</c:v>
                </c:pt>
                <c:pt idx="1">
                  <c:v>0.0192073766098115</c:v>
                </c:pt>
                <c:pt idx="2">
                  <c:v>0.0776836839148793</c:v>
                </c:pt>
              </c:numCache>
            </c:numRef>
          </c:val>
        </c:ser>
        <c:ser>
          <c:idx val="4"/>
          <c:order val="6"/>
          <c:tx>
            <c:strRef>
              <c:f>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Poor!$K$77:$M$77</c:f>
              <c:numCache>
                <c:formatCode>0%</c:formatCode>
                <c:ptCount val="3"/>
                <c:pt idx="1">
                  <c:v>-0.344854738053252</c:v>
                </c:pt>
                <c:pt idx="2">
                  <c:v>-0.344854738053252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76008728"/>
        <c:axId val="-2076005352"/>
      </c:barChart>
      <c:catAx>
        <c:axId val="-2076008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760053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760053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570952071970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7600872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82955395777076"/>
          <c:w val="0.729119638826185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Middle!$K$70:$M$70</c:f>
              <c:numCache>
                <c:formatCode>0%</c:formatCode>
                <c:ptCount val="3"/>
                <c:pt idx="0">
                  <c:v>0.152193530520215</c:v>
                </c:pt>
                <c:pt idx="1">
                  <c:v>0.213070942728302</c:v>
                </c:pt>
                <c:pt idx="2">
                  <c:v>0.213070942728302</c:v>
                </c:pt>
              </c:numCache>
            </c:numRef>
          </c:val>
        </c:ser>
        <c:ser>
          <c:idx val="2"/>
          <c:order val="1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Middle!$K$74:$M$74</c:f>
              <c:numCache>
                <c:formatCode>0%</c:formatCode>
                <c:ptCount val="3"/>
                <c:pt idx="0">
                  <c:v>0.0651498572932605</c:v>
                </c:pt>
                <c:pt idx="1">
                  <c:v>0.0233408216059522</c:v>
                </c:pt>
                <c:pt idx="2">
                  <c:v>0.0567329722195422</c:v>
                </c:pt>
              </c:numCache>
            </c:numRef>
          </c:val>
        </c:ser>
        <c:ser>
          <c:idx val="1"/>
          <c:order val="2"/>
          <c:tx>
            <c:strRef>
              <c:f>Middle!$A$73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Middle!$K$73:$M$73</c:f>
              <c:numCache>
                <c:formatCode>0%</c:formatCode>
                <c:ptCount val="3"/>
                <c:pt idx="0">
                  <c:v>0.249213928030744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3"/>
          <c:tx>
            <c:strRef>
              <c:f>Middle!$A$72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Middle!$K$72:$M$72</c:f>
              <c:numCache>
                <c:formatCode>0%</c:formatCode>
                <c:ptCount val="3"/>
                <c:pt idx="0">
                  <c:v>0.282706416676371</c:v>
                </c:pt>
                <c:pt idx="1">
                  <c:v>0.0930796373970454</c:v>
                </c:pt>
                <c:pt idx="2">
                  <c:v>0.0683211023018879</c:v>
                </c:pt>
              </c:numCache>
            </c:numRef>
          </c:val>
        </c:ser>
        <c:ser>
          <c:idx val="3"/>
          <c:order val="4"/>
          <c:tx>
            <c:strRef>
              <c:f>Middle!$A$75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Middle!$K$75:$M$75</c:f>
              <c:numCache>
                <c:formatCode>0%</c:formatCode>
                <c:ptCount val="3"/>
                <c:pt idx="0">
                  <c:v>0.0919924298954638</c:v>
                </c:pt>
                <c:pt idx="1">
                  <c:v>0.0</c:v>
                </c:pt>
                <c:pt idx="2">
                  <c:v>-8.78889906676527E-17</c:v>
                </c:pt>
              </c:numCache>
            </c:numRef>
          </c:val>
        </c:ser>
        <c:ser>
          <c:idx val="6"/>
          <c:order val="5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Middle!$K$74:$M$74</c:f>
              <c:numCache>
                <c:formatCode>0%</c:formatCode>
                <c:ptCount val="3"/>
                <c:pt idx="0">
                  <c:v>0.0651498572932605</c:v>
                </c:pt>
                <c:pt idx="1">
                  <c:v>0.0233408216059522</c:v>
                </c:pt>
                <c:pt idx="2">
                  <c:v>0.0567329722195422</c:v>
                </c:pt>
              </c:numCache>
            </c:numRef>
          </c:val>
        </c:ser>
        <c:ser>
          <c:idx val="4"/>
          <c:order val="6"/>
          <c:tx>
            <c:strRef>
              <c:f>Middle!$A$77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Middle!$K$77:$M$77</c:f>
              <c:numCache>
                <c:formatCode>0%</c:formatCode>
                <c:ptCount val="3"/>
                <c:pt idx="1">
                  <c:v>-0.0942380909520094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76620120"/>
        <c:axId val="-2076616712"/>
      </c:barChart>
      <c:catAx>
        <c:axId val="-2076620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766167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766167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5819037620297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7662012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150419250691"/>
          <c:y val="0.756667143879742"/>
          <c:w val="0.799532436763988"/>
          <c:h val="0.2137874015748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527104111986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Rich!$K$70:$M$70</c:f>
              <c:numCache>
                <c:formatCode>0%</c:formatCode>
                <c:ptCount val="3"/>
                <c:pt idx="0">
                  <c:v>0.0695524780741323</c:v>
                </c:pt>
                <c:pt idx="1">
                  <c:v>0.0973734693037852</c:v>
                </c:pt>
                <c:pt idx="2">
                  <c:v>0.0973734693037852</c:v>
                </c:pt>
              </c:numCache>
            </c:numRef>
          </c:val>
        </c:ser>
        <c:ser>
          <c:idx val="2"/>
          <c:order val="1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Rich!$K$74:$M$74</c:f>
              <c:numCache>
                <c:formatCode>0%</c:formatCode>
                <c:ptCount val="3"/>
                <c:pt idx="0">
                  <c:v>0.0277661166378234</c:v>
                </c:pt>
                <c:pt idx="1">
                  <c:v>0.017179898883985</c:v>
                </c:pt>
                <c:pt idx="2">
                  <c:v>0.0388143998274708</c:v>
                </c:pt>
              </c:numCache>
            </c:numRef>
          </c:val>
        </c:ser>
        <c:ser>
          <c:idx val="1"/>
          <c:order val="2"/>
          <c:tx>
            <c:strRef>
              <c:f>Rich!$A$73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Rich!$K$73:$M$73</c:f>
              <c:numCache>
                <c:formatCode>0%</c:formatCode>
                <c:ptCount val="3"/>
                <c:pt idx="0">
                  <c:v>0.0521556099877993</c:v>
                </c:pt>
                <c:pt idx="1">
                  <c:v>0.0615436197856032</c:v>
                </c:pt>
                <c:pt idx="2">
                  <c:v>0.0615436197856032</c:v>
                </c:pt>
              </c:numCache>
            </c:numRef>
          </c:val>
        </c:ser>
        <c:ser>
          <c:idx val="3"/>
          <c:order val="3"/>
          <c:tx>
            <c:strRef>
              <c:f>Rich!$A$75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Rich!$K$75:$M$75</c:f>
              <c:numCache>
                <c:formatCode>0%</c:formatCode>
                <c:ptCount val="3"/>
                <c:pt idx="0">
                  <c:v>0.648782928666486</c:v>
                </c:pt>
                <c:pt idx="1">
                  <c:v>0.258921375147643</c:v>
                </c:pt>
                <c:pt idx="2">
                  <c:v>0.237254805370555</c:v>
                </c:pt>
              </c:numCache>
            </c:numRef>
          </c:val>
        </c:ser>
        <c:ser>
          <c:idx val="5"/>
          <c:order val="4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Rich!$K$74:$M$74</c:f>
              <c:numCache>
                <c:formatCode>0%</c:formatCode>
                <c:ptCount val="3"/>
                <c:pt idx="0">
                  <c:v>0.0277661166378234</c:v>
                </c:pt>
                <c:pt idx="1">
                  <c:v>0.017179898883985</c:v>
                </c:pt>
                <c:pt idx="2">
                  <c:v>0.0388143998274708</c:v>
                </c:pt>
              </c:numCache>
            </c:numRef>
          </c:val>
        </c:ser>
        <c:ser>
          <c:idx val="4"/>
          <c:order val="5"/>
          <c:tx>
            <c:strRef>
              <c:f>Rich!$A$77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76564328"/>
        <c:axId val="-2076560824"/>
      </c:barChart>
      <c:catAx>
        <c:axId val="-2076564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765608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765608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5761806658868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7656432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6530667773205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Middle!$K$6:$M$6</c:f>
              <c:numCache>
                <c:formatCode>0%</c:formatCode>
                <c:ptCount val="3"/>
                <c:pt idx="0">
                  <c:v>0.0804572140188578</c:v>
                </c:pt>
                <c:pt idx="1">
                  <c:v>0.0160914428037716</c:v>
                </c:pt>
                <c:pt idx="2" formatCode="0.0%">
                  <c:v>0.0160914428037716</c:v>
                </c:pt>
              </c:numCache>
            </c:numRef>
          </c:val>
        </c:ser>
        <c:ser>
          <c:idx val="1"/>
          <c:order val="1"/>
          <c:tx>
            <c:strRef>
              <c:f>Middle!$A$7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Middle!$K$7:$M$7</c:f>
              <c:numCache>
                <c:formatCode>0%</c:formatCode>
                <c:ptCount val="3"/>
                <c:pt idx="0">
                  <c:v>0.0602583383739548</c:v>
                </c:pt>
                <c:pt idx="1">
                  <c:v>0.012051667674791</c:v>
                </c:pt>
                <c:pt idx="2" formatCode="0.0%">
                  <c:v>0.012051667674791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Middle!$K$8:$M$8</c:f>
              <c:numCache>
                <c:formatCode>0%</c:formatCode>
                <c:ptCount val="3"/>
                <c:pt idx="0">
                  <c:v>0.0675951076320939</c:v>
                </c:pt>
                <c:pt idx="1">
                  <c:v>0.0202785322896282</c:v>
                </c:pt>
                <c:pt idx="2" formatCode="0.0%">
                  <c:v>0.250859304913911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Middle!$K$9:$M$9</c:f>
              <c:numCache>
                <c:formatCode>0%</c:formatCode>
                <c:ptCount val="3"/>
                <c:pt idx="0">
                  <c:v>0.0315630048034158</c:v>
                </c:pt>
                <c:pt idx="1">
                  <c:v>0.00631260096068315</c:v>
                </c:pt>
                <c:pt idx="2" formatCode="0.0%">
                  <c:v>0.00631260096068315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Middle!$K$10:$M$10</c:f>
              <c:numCache>
                <c:formatCode>0%</c:formatCode>
                <c:ptCount val="3"/>
                <c:pt idx="0">
                  <c:v>0.112621270236613</c:v>
                </c:pt>
                <c:pt idx="1">
                  <c:v>0.0225242540473225</c:v>
                </c:pt>
                <c:pt idx="2" formatCode="0.0%">
                  <c:v>0.0936676329286439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Middle!$A$14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Middle!$A$15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Middle!$A$16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Middle!$A$17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Middle!$A$18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Middle!$A$19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Middle!$A$20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Middle!$A$21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Middle!$A$22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Middle!$K$26:$M$26</c:f>
              <c:numCache>
                <c:formatCode>0%</c:formatCode>
                <c:ptCount val="3"/>
                <c:pt idx="0">
                  <c:v>0.119047619047619</c:v>
                </c:pt>
                <c:pt idx="1">
                  <c:v>0.119047619047619</c:v>
                </c:pt>
                <c:pt idx="2" formatCode="0.0%">
                  <c:v>0.119047619047619</c:v>
                </c:pt>
              </c:numCache>
            </c:numRef>
          </c:val>
        </c:ser>
        <c:ser>
          <c:idx val="21"/>
          <c:order val="21"/>
          <c:tx>
            <c:strRef>
              <c:f>Middle!$A$27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Middle!$K$27:$M$27</c:f>
              <c:numCache>
                <c:formatCode>0%</c:formatCode>
                <c:ptCount val="3"/>
                <c:pt idx="0">
                  <c:v>0.0151502423056396</c:v>
                </c:pt>
                <c:pt idx="1">
                  <c:v>0.0151502423056396</c:v>
                </c:pt>
                <c:pt idx="2" formatCode="0.0%">
                  <c:v>-0.0020766187234804</c:v>
                </c:pt>
              </c:numCache>
            </c:numRef>
          </c:val>
        </c:ser>
        <c:ser>
          <c:idx val="22"/>
          <c:order val="2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Middle!$K$29:$M$29</c:f>
              <c:numCache>
                <c:formatCode>0%</c:formatCode>
                <c:ptCount val="3"/>
                <c:pt idx="0">
                  <c:v>0.277553332858922</c:v>
                </c:pt>
                <c:pt idx="1">
                  <c:v>0.277553332858922</c:v>
                </c:pt>
                <c:pt idx="2" formatCode="0.0%">
                  <c:v>0.217383588493726</c:v>
                </c:pt>
              </c:numCache>
            </c:numRef>
          </c:val>
        </c:ser>
        <c:ser>
          <c:idx val="24"/>
          <c:order val="2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Middle!$K$30:$M$30</c:f>
              <c:numCache>
                <c:formatCode>0%</c:formatCode>
                <c:ptCount val="3"/>
                <c:pt idx="0">
                  <c:v>0.543166725493684</c:v>
                </c:pt>
                <c:pt idx="1">
                  <c:v>0.117937490753931</c:v>
                </c:pt>
                <c:pt idx="2" formatCode="0.0%">
                  <c:v>0.286662761900334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78100440"/>
        <c:axId val="-2078059480"/>
      </c:barChart>
      <c:catAx>
        <c:axId val="-2078100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780594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780594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465806982836893"/>
              <c:y val="0.24108655863503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7810044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"/>
          <c:y val="0.770655332963563"/>
          <c:w val="0.993747736609297"/>
          <c:h val="0.21667158677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V.Poor!$K$70:$M$70</c:f>
              <c:numCache>
                <c:formatCode>0%</c:formatCode>
                <c:ptCount val="3"/>
                <c:pt idx="0">
                  <c:v>0.469343094479113</c:v>
                </c:pt>
                <c:pt idx="1">
                  <c:v>0.153393787035374</c:v>
                </c:pt>
                <c:pt idx="2">
                  <c:v>0.153393787035374</c:v>
                </c:pt>
              </c:numCache>
            </c:numRef>
          </c:val>
        </c:ser>
        <c:ser>
          <c:idx val="2"/>
          <c:order val="1"/>
          <c:tx>
            <c:strRef>
              <c:f>V.Poor!$A$71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V.Poor!$K$71:$M$71</c:f>
              <c:numCache>
                <c:formatCode>0%</c:formatCode>
                <c:ptCount val="3"/>
                <c:pt idx="0">
                  <c:v>0.489543305201413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2"/>
          <c:tx>
            <c:strRef>
              <c:f>V.Poor!$A$72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2700" cmpd="sng">
              <a:solidFill>
                <a:schemeClr val="tx1"/>
              </a:solidFill>
            </a:ln>
          </c:spPr>
          <c:invertIfNegative val="0"/>
          <c:val>
            <c:numRef>
              <c:f>V.Poor!$K$72:$M$72</c:f>
              <c:numCache>
                <c:formatCode>0%</c:formatCode>
                <c:ptCount val="3"/>
                <c:pt idx="0">
                  <c:v>0.871826180642844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3"/>
          <c:tx>
            <c:strRef>
              <c:f>V.Poor!$A$73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V.Poor!$K$73:$M$73</c:f>
              <c:numCache>
                <c:formatCode>0%</c:formatCode>
                <c:ptCount val="3"/>
                <c:pt idx="0">
                  <c:v>0.146274016879152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V.Poor!$A$74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V.Poor!$K$74:$M$74</c:f>
              <c:numCache>
                <c:formatCode>0%</c:formatCode>
                <c:ptCount val="3"/>
                <c:pt idx="0">
                  <c:v>0.255002797323439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5"/>
          <c:tx>
            <c:strRef>
              <c:f>V.Poor!$A$75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V.Poor!$A$77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V.Poor!$K$77:$M$77</c:f>
              <c:numCache>
                <c:formatCode>0%</c:formatCode>
                <c:ptCount val="3"/>
                <c:pt idx="1">
                  <c:v>-1.08134764537305</c:v>
                </c:pt>
                <c:pt idx="2">
                  <c:v>-1.08134764537305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76503368"/>
        <c:axId val="-2076499992"/>
      </c:barChart>
      <c:catAx>
        <c:axId val="-2076503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764999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764999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5652475940507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7650336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Percentiles!$F$3:$DA$3</c:f>
              <c:numCache>
                <c:formatCode>0</c:formatCode>
                <c:ptCount val="100"/>
                <c:pt idx="0">
                  <c:v>1471.286595974585</c:v>
                </c:pt>
                <c:pt idx="1">
                  <c:v>1471.286595974585</c:v>
                </c:pt>
                <c:pt idx="2">
                  <c:v>1471.286595974585</c:v>
                </c:pt>
                <c:pt idx="3">
                  <c:v>1471.286595974585</c:v>
                </c:pt>
                <c:pt idx="4">
                  <c:v>1471.286595974585</c:v>
                </c:pt>
                <c:pt idx="5">
                  <c:v>1471.286595974585</c:v>
                </c:pt>
                <c:pt idx="6">
                  <c:v>1471.286595974585</c:v>
                </c:pt>
                <c:pt idx="7">
                  <c:v>1471.286595974585</c:v>
                </c:pt>
                <c:pt idx="8">
                  <c:v>1471.286595974585</c:v>
                </c:pt>
                <c:pt idx="9">
                  <c:v>1471.286595974585</c:v>
                </c:pt>
                <c:pt idx="10">
                  <c:v>1471.286595974585</c:v>
                </c:pt>
                <c:pt idx="11">
                  <c:v>1471.286595974585</c:v>
                </c:pt>
                <c:pt idx="12">
                  <c:v>1471.286595974585</c:v>
                </c:pt>
                <c:pt idx="13">
                  <c:v>1471.286595974585</c:v>
                </c:pt>
                <c:pt idx="14">
                  <c:v>1471.286595974585</c:v>
                </c:pt>
                <c:pt idx="15">
                  <c:v>1471.286595974585</c:v>
                </c:pt>
                <c:pt idx="16">
                  <c:v>1471.286595974585</c:v>
                </c:pt>
                <c:pt idx="17">
                  <c:v>1471.286595974585</c:v>
                </c:pt>
                <c:pt idx="18">
                  <c:v>1471.286595974585</c:v>
                </c:pt>
                <c:pt idx="19">
                  <c:v>1471.286595974585</c:v>
                </c:pt>
                <c:pt idx="20">
                  <c:v>1471.286595974585</c:v>
                </c:pt>
                <c:pt idx="21">
                  <c:v>1471.286595974585</c:v>
                </c:pt>
                <c:pt idx="22">
                  <c:v>1471.286595974585</c:v>
                </c:pt>
                <c:pt idx="23">
                  <c:v>1471.286595974585</c:v>
                </c:pt>
                <c:pt idx="24">
                  <c:v>1471.286595974585</c:v>
                </c:pt>
                <c:pt idx="25">
                  <c:v>1471.286595974585</c:v>
                </c:pt>
                <c:pt idx="26">
                  <c:v>1471.286595974585</c:v>
                </c:pt>
                <c:pt idx="27">
                  <c:v>1471.286595974585</c:v>
                </c:pt>
                <c:pt idx="28">
                  <c:v>1471.286595974585</c:v>
                </c:pt>
                <c:pt idx="29">
                  <c:v>1471.286595974585</c:v>
                </c:pt>
                <c:pt idx="30">
                  <c:v>1471.286595974585</c:v>
                </c:pt>
                <c:pt idx="31">
                  <c:v>1471.286595974585</c:v>
                </c:pt>
                <c:pt idx="32">
                  <c:v>1471.286595974585</c:v>
                </c:pt>
                <c:pt idx="33">
                  <c:v>1471.286595974585</c:v>
                </c:pt>
                <c:pt idx="34">
                  <c:v>1471.286595974585</c:v>
                </c:pt>
                <c:pt idx="35">
                  <c:v>1471.286595974585</c:v>
                </c:pt>
                <c:pt idx="36">
                  <c:v>1471.286595974585</c:v>
                </c:pt>
                <c:pt idx="37">
                  <c:v>1471.286595974585</c:v>
                </c:pt>
                <c:pt idx="38">
                  <c:v>1471.286595974585</c:v>
                </c:pt>
                <c:pt idx="39">
                  <c:v>1471.286595974585</c:v>
                </c:pt>
                <c:pt idx="40">
                  <c:v>1471.286595974585</c:v>
                </c:pt>
                <c:pt idx="41">
                  <c:v>1471.286595974585</c:v>
                </c:pt>
                <c:pt idx="42">
                  <c:v>1471.286595974585</c:v>
                </c:pt>
                <c:pt idx="43">
                  <c:v>1471.286595974585</c:v>
                </c:pt>
                <c:pt idx="44">
                  <c:v>1471.286595974585</c:v>
                </c:pt>
                <c:pt idx="45">
                  <c:v>1471.286595974585</c:v>
                </c:pt>
                <c:pt idx="46">
                  <c:v>1471.286595974585</c:v>
                </c:pt>
                <c:pt idx="47">
                  <c:v>1471.286595974585</c:v>
                </c:pt>
                <c:pt idx="48">
                  <c:v>1471.286595974585</c:v>
                </c:pt>
                <c:pt idx="49">
                  <c:v>1471.286595974585</c:v>
                </c:pt>
                <c:pt idx="50">
                  <c:v>4042.401206537601</c:v>
                </c:pt>
                <c:pt idx="51">
                  <c:v>4042.401206537601</c:v>
                </c:pt>
                <c:pt idx="52">
                  <c:v>4042.401206537601</c:v>
                </c:pt>
                <c:pt idx="53">
                  <c:v>4042.401206537601</c:v>
                </c:pt>
                <c:pt idx="54">
                  <c:v>4042.401206537601</c:v>
                </c:pt>
                <c:pt idx="55">
                  <c:v>4042.401206537601</c:v>
                </c:pt>
                <c:pt idx="56">
                  <c:v>4042.401206537601</c:v>
                </c:pt>
                <c:pt idx="57">
                  <c:v>4042.401206537601</c:v>
                </c:pt>
                <c:pt idx="58">
                  <c:v>4042.401206537601</c:v>
                </c:pt>
                <c:pt idx="59">
                  <c:v>4042.401206537601</c:v>
                </c:pt>
                <c:pt idx="60">
                  <c:v>4042.401206537601</c:v>
                </c:pt>
                <c:pt idx="61">
                  <c:v>4042.401206537601</c:v>
                </c:pt>
                <c:pt idx="62">
                  <c:v>4042.401206537601</c:v>
                </c:pt>
                <c:pt idx="63">
                  <c:v>4042.401206537601</c:v>
                </c:pt>
                <c:pt idx="64">
                  <c:v>4042.401206537601</c:v>
                </c:pt>
                <c:pt idx="65">
                  <c:v>4042.401206537601</c:v>
                </c:pt>
                <c:pt idx="66">
                  <c:v>4042.401206537601</c:v>
                </c:pt>
                <c:pt idx="67">
                  <c:v>4042.401206537601</c:v>
                </c:pt>
                <c:pt idx="68">
                  <c:v>4042.401206537601</c:v>
                </c:pt>
                <c:pt idx="69">
                  <c:v>4042.401206537601</c:v>
                </c:pt>
                <c:pt idx="70">
                  <c:v>4042.401206537601</c:v>
                </c:pt>
                <c:pt idx="71">
                  <c:v>4042.401206537601</c:v>
                </c:pt>
                <c:pt idx="72">
                  <c:v>4042.401206537601</c:v>
                </c:pt>
                <c:pt idx="73">
                  <c:v>4042.401206537601</c:v>
                </c:pt>
                <c:pt idx="74">
                  <c:v>4042.401206537601</c:v>
                </c:pt>
                <c:pt idx="75">
                  <c:v>3726.381270269676</c:v>
                </c:pt>
                <c:pt idx="76">
                  <c:v>3726.381270269676</c:v>
                </c:pt>
                <c:pt idx="77">
                  <c:v>3726.381270269676</c:v>
                </c:pt>
                <c:pt idx="78">
                  <c:v>3726.381270269676</c:v>
                </c:pt>
                <c:pt idx="79">
                  <c:v>3726.381270269676</c:v>
                </c:pt>
                <c:pt idx="80">
                  <c:v>3726.381270269676</c:v>
                </c:pt>
                <c:pt idx="81">
                  <c:v>3726.381270269676</c:v>
                </c:pt>
                <c:pt idx="82">
                  <c:v>3726.381270269676</c:v>
                </c:pt>
                <c:pt idx="83">
                  <c:v>3726.381270269676</c:v>
                </c:pt>
                <c:pt idx="84">
                  <c:v>3726.381270269676</c:v>
                </c:pt>
                <c:pt idx="85">
                  <c:v>3726.381270269676</c:v>
                </c:pt>
                <c:pt idx="86">
                  <c:v>3726.381270269676</c:v>
                </c:pt>
                <c:pt idx="87">
                  <c:v>3726.381270269676</c:v>
                </c:pt>
                <c:pt idx="88">
                  <c:v>3726.381270269676</c:v>
                </c:pt>
                <c:pt idx="89">
                  <c:v>3726.381270269676</c:v>
                </c:pt>
                <c:pt idx="90">
                  <c:v>2609.843025769722</c:v>
                </c:pt>
                <c:pt idx="91">
                  <c:v>2609.843025769722</c:v>
                </c:pt>
                <c:pt idx="92">
                  <c:v>2609.843025769722</c:v>
                </c:pt>
                <c:pt idx="93">
                  <c:v>2609.843025769722</c:v>
                </c:pt>
                <c:pt idx="94">
                  <c:v>2609.843025769722</c:v>
                </c:pt>
                <c:pt idx="95">
                  <c:v>2609.843025769722</c:v>
                </c:pt>
                <c:pt idx="96">
                  <c:v>2609.843025769722</c:v>
                </c:pt>
                <c:pt idx="97">
                  <c:v>2609.843025769722</c:v>
                </c:pt>
                <c:pt idx="98">
                  <c:v>2609.843025769722</c:v>
                </c:pt>
                <c:pt idx="99">
                  <c:v>2609.843025769722</c:v>
                </c:pt>
              </c:numCache>
            </c:numRef>
          </c:val>
        </c:ser>
        <c:ser>
          <c:idx val="1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Percentiles!$F$4:$DA$4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2481.406850293854</c:v>
                </c:pt>
                <c:pt idx="51">
                  <c:v>2481.406850293854</c:v>
                </c:pt>
                <c:pt idx="52">
                  <c:v>2481.406850293854</c:v>
                </c:pt>
                <c:pt idx="53">
                  <c:v>2481.406850293854</c:v>
                </c:pt>
                <c:pt idx="54">
                  <c:v>2481.406850293854</c:v>
                </c:pt>
                <c:pt idx="55">
                  <c:v>2481.406850293854</c:v>
                </c:pt>
                <c:pt idx="56">
                  <c:v>2481.406850293854</c:v>
                </c:pt>
                <c:pt idx="57">
                  <c:v>2481.406850293854</c:v>
                </c:pt>
                <c:pt idx="58">
                  <c:v>2481.406850293854</c:v>
                </c:pt>
                <c:pt idx="59">
                  <c:v>2481.406850293854</c:v>
                </c:pt>
                <c:pt idx="60">
                  <c:v>2481.406850293854</c:v>
                </c:pt>
                <c:pt idx="61">
                  <c:v>2481.406850293854</c:v>
                </c:pt>
                <c:pt idx="62">
                  <c:v>2481.406850293854</c:v>
                </c:pt>
                <c:pt idx="63">
                  <c:v>2481.406850293854</c:v>
                </c:pt>
                <c:pt idx="64">
                  <c:v>2481.406850293854</c:v>
                </c:pt>
                <c:pt idx="65">
                  <c:v>2481.406850293854</c:v>
                </c:pt>
                <c:pt idx="66">
                  <c:v>2481.406850293854</c:v>
                </c:pt>
                <c:pt idx="67">
                  <c:v>2481.406850293854</c:v>
                </c:pt>
                <c:pt idx="68">
                  <c:v>2481.406850293854</c:v>
                </c:pt>
                <c:pt idx="69">
                  <c:v>2481.406850293854</c:v>
                </c:pt>
                <c:pt idx="70">
                  <c:v>2481.406850293854</c:v>
                </c:pt>
                <c:pt idx="71">
                  <c:v>2481.406850293854</c:v>
                </c:pt>
                <c:pt idx="72">
                  <c:v>2481.406850293854</c:v>
                </c:pt>
                <c:pt idx="73">
                  <c:v>2481.406850293854</c:v>
                </c:pt>
                <c:pt idx="74">
                  <c:v>2481.406850293854</c:v>
                </c:pt>
                <c:pt idx="75">
                  <c:v>37840.38673597857</c:v>
                </c:pt>
                <c:pt idx="76">
                  <c:v>37840.38673597857</c:v>
                </c:pt>
                <c:pt idx="77">
                  <c:v>37840.38673597857</c:v>
                </c:pt>
                <c:pt idx="78">
                  <c:v>37840.38673597857</c:v>
                </c:pt>
                <c:pt idx="79">
                  <c:v>37840.38673597857</c:v>
                </c:pt>
                <c:pt idx="80">
                  <c:v>37840.38673597857</c:v>
                </c:pt>
                <c:pt idx="81">
                  <c:v>37840.38673597857</c:v>
                </c:pt>
                <c:pt idx="82">
                  <c:v>37840.38673597857</c:v>
                </c:pt>
                <c:pt idx="83">
                  <c:v>37840.38673597857</c:v>
                </c:pt>
                <c:pt idx="84">
                  <c:v>37840.38673597857</c:v>
                </c:pt>
                <c:pt idx="85">
                  <c:v>37840.38673597857</c:v>
                </c:pt>
                <c:pt idx="86">
                  <c:v>37840.38673597857</c:v>
                </c:pt>
                <c:pt idx="87">
                  <c:v>37840.38673597857</c:v>
                </c:pt>
                <c:pt idx="88">
                  <c:v>37840.38673597857</c:v>
                </c:pt>
                <c:pt idx="89">
                  <c:v>37840.38673597857</c:v>
                </c:pt>
                <c:pt idx="90">
                  <c:v>14996.06838683611</c:v>
                </c:pt>
                <c:pt idx="91">
                  <c:v>14996.06838683611</c:v>
                </c:pt>
                <c:pt idx="92">
                  <c:v>14996.06838683611</c:v>
                </c:pt>
                <c:pt idx="93">
                  <c:v>14996.06838683611</c:v>
                </c:pt>
                <c:pt idx="94">
                  <c:v>14996.06838683611</c:v>
                </c:pt>
                <c:pt idx="95">
                  <c:v>14996.06838683611</c:v>
                </c:pt>
                <c:pt idx="96">
                  <c:v>14996.06838683611</c:v>
                </c:pt>
                <c:pt idx="97">
                  <c:v>14996.06838683611</c:v>
                </c:pt>
                <c:pt idx="98">
                  <c:v>14996.06838683611</c:v>
                </c:pt>
                <c:pt idx="99">
                  <c:v>14996.06838683611</c:v>
                </c:pt>
              </c:numCache>
            </c:numRef>
          </c:val>
        </c:ser>
        <c:ser>
          <c:idx val="2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Percentiles!$F$5:$DA$5</c:f>
              <c:numCache>
                <c:formatCode>0</c:formatCode>
                <c:ptCount val="100"/>
                <c:pt idx="0">
                  <c:v>178.1605394978578</c:v>
                </c:pt>
                <c:pt idx="1">
                  <c:v>178.1605394978578</c:v>
                </c:pt>
                <c:pt idx="2">
                  <c:v>178.1605394978578</c:v>
                </c:pt>
                <c:pt idx="3">
                  <c:v>178.1605394978578</c:v>
                </c:pt>
                <c:pt idx="4">
                  <c:v>178.1605394978578</c:v>
                </c:pt>
                <c:pt idx="5">
                  <c:v>178.1605394978578</c:v>
                </c:pt>
                <c:pt idx="6">
                  <c:v>178.1605394978578</c:v>
                </c:pt>
                <c:pt idx="7">
                  <c:v>178.1605394978578</c:v>
                </c:pt>
                <c:pt idx="8">
                  <c:v>178.1605394978578</c:v>
                </c:pt>
                <c:pt idx="9">
                  <c:v>178.1605394978578</c:v>
                </c:pt>
                <c:pt idx="10">
                  <c:v>178.1605394978578</c:v>
                </c:pt>
                <c:pt idx="11">
                  <c:v>178.1605394978578</c:v>
                </c:pt>
                <c:pt idx="12">
                  <c:v>178.1605394978578</c:v>
                </c:pt>
                <c:pt idx="13">
                  <c:v>178.1605394978578</c:v>
                </c:pt>
                <c:pt idx="14">
                  <c:v>178.1605394978578</c:v>
                </c:pt>
                <c:pt idx="15">
                  <c:v>178.1605394978578</c:v>
                </c:pt>
                <c:pt idx="16">
                  <c:v>178.1605394978578</c:v>
                </c:pt>
                <c:pt idx="17">
                  <c:v>178.1605394978578</c:v>
                </c:pt>
                <c:pt idx="18">
                  <c:v>178.1605394978578</c:v>
                </c:pt>
                <c:pt idx="19">
                  <c:v>178.1605394978578</c:v>
                </c:pt>
                <c:pt idx="20">
                  <c:v>178.1605394978578</c:v>
                </c:pt>
                <c:pt idx="21">
                  <c:v>178.1605394978578</c:v>
                </c:pt>
                <c:pt idx="22">
                  <c:v>178.1605394978578</c:v>
                </c:pt>
                <c:pt idx="23">
                  <c:v>178.1605394978578</c:v>
                </c:pt>
                <c:pt idx="24">
                  <c:v>178.1605394978578</c:v>
                </c:pt>
                <c:pt idx="25">
                  <c:v>178.1605394978578</c:v>
                </c:pt>
                <c:pt idx="26">
                  <c:v>178.1605394978578</c:v>
                </c:pt>
                <c:pt idx="27">
                  <c:v>178.1605394978578</c:v>
                </c:pt>
                <c:pt idx="28">
                  <c:v>178.1605394978578</c:v>
                </c:pt>
                <c:pt idx="29">
                  <c:v>178.1605394978578</c:v>
                </c:pt>
                <c:pt idx="30">
                  <c:v>178.1605394978578</c:v>
                </c:pt>
                <c:pt idx="31">
                  <c:v>178.1605394978578</c:v>
                </c:pt>
                <c:pt idx="32">
                  <c:v>178.1605394978578</c:v>
                </c:pt>
                <c:pt idx="33">
                  <c:v>178.1605394978578</c:v>
                </c:pt>
                <c:pt idx="34">
                  <c:v>178.1605394978578</c:v>
                </c:pt>
                <c:pt idx="35">
                  <c:v>178.1605394978578</c:v>
                </c:pt>
                <c:pt idx="36">
                  <c:v>178.1605394978578</c:v>
                </c:pt>
                <c:pt idx="37">
                  <c:v>178.1605394978578</c:v>
                </c:pt>
                <c:pt idx="38">
                  <c:v>178.1605394978578</c:v>
                </c:pt>
                <c:pt idx="39">
                  <c:v>178.1605394978578</c:v>
                </c:pt>
                <c:pt idx="40">
                  <c:v>178.1605394978578</c:v>
                </c:pt>
                <c:pt idx="41">
                  <c:v>178.1605394978578</c:v>
                </c:pt>
                <c:pt idx="42">
                  <c:v>178.1605394978578</c:v>
                </c:pt>
                <c:pt idx="43">
                  <c:v>178.1605394978578</c:v>
                </c:pt>
                <c:pt idx="44">
                  <c:v>178.1605394978578</c:v>
                </c:pt>
                <c:pt idx="45">
                  <c:v>178.1605394978578</c:v>
                </c:pt>
                <c:pt idx="46">
                  <c:v>178.1605394978578</c:v>
                </c:pt>
                <c:pt idx="47">
                  <c:v>178.1605394978578</c:v>
                </c:pt>
                <c:pt idx="48">
                  <c:v>178.1605394978578</c:v>
                </c:pt>
                <c:pt idx="49">
                  <c:v>178.1605394978578</c:v>
                </c:pt>
                <c:pt idx="50">
                  <c:v>852.700313707167</c:v>
                </c:pt>
                <c:pt idx="51">
                  <c:v>852.700313707167</c:v>
                </c:pt>
                <c:pt idx="52">
                  <c:v>852.700313707167</c:v>
                </c:pt>
                <c:pt idx="53">
                  <c:v>852.700313707167</c:v>
                </c:pt>
                <c:pt idx="54">
                  <c:v>852.700313707167</c:v>
                </c:pt>
                <c:pt idx="55">
                  <c:v>852.700313707167</c:v>
                </c:pt>
                <c:pt idx="56">
                  <c:v>852.700313707167</c:v>
                </c:pt>
                <c:pt idx="57">
                  <c:v>852.700313707167</c:v>
                </c:pt>
                <c:pt idx="58">
                  <c:v>852.700313707167</c:v>
                </c:pt>
                <c:pt idx="59">
                  <c:v>852.700313707167</c:v>
                </c:pt>
                <c:pt idx="60">
                  <c:v>852.700313707167</c:v>
                </c:pt>
                <c:pt idx="61">
                  <c:v>852.700313707167</c:v>
                </c:pt>
                <c:pt idx="62">
                  <c:v>852.700313707167</c:v>
                </c:pt>
                <c:pt idx="63">
                  <c:v>852.700313707167</c:v>
                </c:pt>
                <c:pt idx="64">
                  <c:v>852.700313707167</c:v>
                </c:pt>
                <c:pt idx="65">
                  <c:v>852.700313707167</c:v>
                </c:pt>
                <c:pt idx="66">
                  <c:v>852.700313707167</c:v>
                </c:pt>
                <c:pt idx="67">
                  <c:v>852.700313707167</c:v>
                </c:pt>
                <c:pt idx="68">
                  <c:v>852.700313707167</c:v>
                </c:pt>
                <c:pt idx="69">
                  <c:v>852.700313707167</c:v>
                </c:pt>
                <c:pt idx="70">
                  <c:v>852.700313707167</c:v>
                </c:pt>
                <c:pt idx="71">
                  <c:v>852.700313707167</c:v>
                </c:pt>
                <c:pt idx="72">
                  <c:v>852.700313707167</c:v>
                </c:pt>
                <c:pt idx="73">
                  <c:v>852.700313707167</c:v>
                </c:pt>
                <c:pt idx="74">
                  <c:v>852.700313707167</c:v>
                </c:pt>
                <c:pt idx="75">
                  <c:v>2475.971892334978</c:v>
                </c:pt>
                <c:pt idx="76">
                  <c:v>2475.971892334978</c:v>
                </c:pt>
                <c:pt idx="77">
                  <c:v>2475.971892334978</c:v>
                </c:pt>
                <c:pt idx="78">
                  <c:v>2475.971892334978</c:v>
                </c:pt>
                <c:pt idx="79">
                  <c:v>2475.971892334978</c:v>
                </c:pt>
                <c:pt idx="80">
                  <c:v>2475.971892334978</c:v>
                </c:pt>
                <c:pt idx="81">
                  <c:v>2475.971892334978</c:v>
                </c:pt>
                <c:pt idx="82">
                  <c:v>2475.971892334978</c:v>
                </c:pt>
                <c:pt idx="83">
                  <c:v>2475.971892334978</c:v>
                </c:pt>
                <c:pt idx="84">
                  <c:v>2475.971892334978</c:v>
                </c:pt>
                <c:pt idx="85">
                  <c:v>2475.971892334978</c:v>
                </c:pt>
                <c:pt idx="86">
                  <c:v>2475.971892334978</c:v>
                </c:pt>
                <c:pt idx="87">
                  <c:v>2475.971892334978</c:v>
                </c:pt>
                <c:pt idx="88">
                  <c:v>2475.971892334978</c:v>
                </c:pt>
                <c:pt idx="89">
                  <c:v>2475.971892334978</c:v>
                </c:pt>
                <c:pt idx="90">
                  <c:v>3037.783292862944</c:v>
                </c:pt>
                <c:pt idx="91">
                  <c:v>3037.783292862944</c:v>
                </c:pt>
                <c:pt idx="92">
                  <c:v>3037.783292862944</c:v>
                </c:pt>
                <c:pt idx="93">
                  <c:v>3037.783292862944</c:v>
                </c:pt>
                <c:pt idx="94">
                  <c:v>3037.783292862944</c:v>
                </c:pt>
                <c:pt idx="95">
                  <c:v>3037.783292862944</c:v>
                </c:pt>
                <c:pt idx="96">
                  <c:v>3037.783292862944</c:v>
                </c:pt>
                <c:pt idx="97">
                  <c:v>3037.783292862944</c:v>
                </c:pt>
                <c:pt idx="98">
                  <c:v>3037.783292862944</c:v>
                </c:pt>
                <c:pt idx="99">
                  <c:v>3037.783292862944</c:v>
                </c:pt>
              </c:numCache>
            </c:numRef>
          </c:val>
        </c:ser>
        <c:ser>
          <c:idx val="3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Percentiles!$F$6:$DA$6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Percentiles!$F$7:$DA$7</c:f>
              <c:numCache>
                <c:formatCode>0</c:formatCode>
                <c:ptCount val="100"/>
                <c:pt idx="0">
                  <c:v>1921.915804874758</c:v>
                </c:pt>
                <c:pt idx="1">
                  <c:v>1921.915804874758</c:v>
                </c:pt>
                <c:pt idx="2">
                  <c:v>1921.915804874758</c:v>
                </c:pt>
                <c:pt idx="3">
                  <c:v>1921.915804874758</c:v>
                </c:pt>
                <c:pt idx="4">
                  <c:v>1921.915804874758</c:v>
                </c:pt>
                <c:pt idx="5">
                  <c:v>1921.915804874758</c:v>
                </c:pt>
                <c:pt idx="6">
                  <c:v>1921.915804874758</c:v>
                </c:pt>
                <c:pt idx="7">
                  <c:v>1921.915804874758</c:v>
                </c:pt>
                <c:pt idx="8">
                  <c:v>1921.915804874758</c:v>
                </c:pt>
                <c:pt idx="9">
                  <c:v>1921.915804874758</c:v>
                </c:pt>
                <c:pt idx="10">
                  <c:v>1921.915804874758</c:v>
                </c:pt>
                <c:pt idx="11">
                  <c:v>1921.915804874758</c:v>
                </c:pt>
                <c:pt idx="12">
                  <c:v>1921.915804874758</c:v>
                </c:pt>
                <c:pt idx="13">
                  <c:v>1921.915804874758</c:v>
                </c:pt>
                <c:pt idx="14">
                  <c:v>1921.915804874758</c:v>
                </c:pt>
                <c:pt idx="15">
                  <c:v>1921.915804874758</c:v>
                </c:pt>
                <c:pt idx="16">
                  <c:v>1921.915804874758</c:v>
                </c:pt>
                <c:pt idx="17">
                  <c:v>1921.915804874758</c:v>
                </c:pt>
                <c:pt idx="18">
                  <c:v>1921.915804874758</c:v>
                </c:pt>
                <c:pt idx="19">
                  <c:v>1921.915804874758</c:v>
                </c:pt>
                <c:pt idx="20">
                  <c:v>1921.915804874758</c:v>
                </c:pt>
                <c:pt idx="21">
                  <c:v>1921.915804874758</c:v>
                </c:pt>
                <c:pt idx="22">
                  <c:v>1921.915804874758</c:v>
                </c:pt>
                <c:pt idx="23">
                  <c:v>1921.915804874758</c:v>
                </c:pt>
                <c:pt idx="24">
                  <c:v>1921.915804874758</c:v>
                </c:pt>
                <c:pt idx="25">
                  <c:v>1921.915804874758</c:v>
                </c:pt>
                <c:pt idx="26">
                  <c:v>1921.915804874758</c:v>
                </c:pt>
                <c:pt idx="27">
                  <c:v>1921.915804874758</c:v>
                </c:pt>
                <c:pt idx="28">
                  <c:v>1921.915804874758</c:v>
                </c:pt>
                <c:pt idx="29">
                  <c:v>1921.915804874758</c:v>
                </c:pt>
                <c:pt idx="30">
                  <c:v>1921.915804874758</c:v>
                </c:pt>
                <c:pt idx="31">
                  <c:v>1921.915804874758</c:v>
                </c:pt>
                <c:pt idx="32">
                  <c:v>1921.915804874758</c:v>
                </c:pt>
                <c:pt idx="33">
                  <c:v>1921.915804874758</c:v>
                </c:pt>
                <c:pt idx="34">
                  <c:v>1921.915804874758</c:v>
                </c:pt>
                <c:pt idx="35">
                  <c:v>1921.915804874758</c:v>
                </c:pt>
                <c:pt idx="36">
                  <c:v>1921.915804874758</c:v>
                </c:pt>
                <c:pt idx="37">
                  <c:v>1921.915804874758</c:v>
                </c:pt>
                <c:pt idx="38">
                  <c:v>1921.915804874758</c:v>
                </c:pt>
                <c:pt idx="39">
                  <c:v>1921.915804874758</c:v>
                </c:pt>
                <c:pt idx="40">
                  <c:v>1921.915804874758</c:v>
                </c:pt>
                <c:pt idx="41">
                  <c:v>1921.915804874758</c:v>
                </c:pt>
                <c:pt idx="42">
                  <c:v>1921.915804874758</c:v>
                </c:pt>
                <c:pt idx="43">
                  <c:v>1921.915804874758</c:v>
                </c:pt>
                <c:pt idx="44">
                  <c:v>1921.915804874758</c:v>
                </c:pt>
                <c:pt idx="45">
                  <c:v>1921.915804874758</c:v>
                </c:pt>
                <c:pt idx="46">
                  <c:v>1921.915804874758</c:v>
                </c:pt>
                <c:pt idx="47">
                  <c:v>1921.915804874758</c:v>
                </c:pt>
                <c:pt idx="48">
                  <c:v>1921.915804874758</c:v>
                </c:pt>
                <c:pt idx="49">
                  <c:v>1921.915804874758</c:v>
                </c:pt>
                <c:pt idx="50">
                  <c:v>14574.52818696692</c:v>
                </c:pt>
                <c:pt idx="51">
                  <c:v>14574.52818696692</c:v>
                </c:pt>
                <c:pt idx="52">
                  <c:v>14574.52818696692</c:v>
                </c:pt>
                <c:pt idx="53">
                  <c:v>14574.52818696692</c:v>
                </c:pt>
                <c:pt idx="54">
                  <c:v>14574.52818696692</c:v>
                </c:pt>
                <c:pt idx="55">
                  <c:v>14574.52818696692</c:v>
                </c:pt>
                <c:pt idx="56">
                  <c:v>14574.52818696692</c:v>
                </c:pt>
                <c:pt idx="57">
                  <c:v>14574.52818696692</c:v>
                </c:pt>
                <c:pt idx="58">
                  <c:v>14574.52818696692</c:v>
                </c:pt>
                <c:pt idx="59">
                  <c:v>14574.52818696692</c:v>
                </c:pt>
                <c:pt idx="60">
                  <c:v>14574.52818696692</c:v>
                </c:pt>
                <c:pt idx="61">
                  <c:v>14574.52818696692</c:v>
                </c:pt>
                <c:pt idx="62">
                  <c:v>14574.52818696692</c:v>
                </c:pt>
                <c:pt idx="63">
                  <c:v>14574.52818696692</c:v>
                </c:pt>
                <c:pt idx="64">
                  <c:v>14574.52818696692</c:v>
                </c:pt>
                <c:pt idx="65">
                  <c:v>14574.52818696692</c:v>
                </c:pt>
                <c:pt idx="66">
                  <c:v>14574.52818696692</c:v>
                </c:pt>
                <c:pt idx="67">
                  <c:v>14574.52818696692</c:v>
                </c:pt>
                <c:pt idx="68">
                  <c:v>14574.52818696692</c:v>
                </c:pt>
                <c:pt idx="69">
                  <c:v>14574.52818696692</c:v>
                </c:pt>
                <c:pt idx="70">
                  <c:v>14574.52818696692</c:v>
                </c:pt>
                <c:pt idx="71">
                  <c:v>14574.52818696692</c:v>
                </c:pt>
                <c:pt idx="72">
                  <c:v>14574.52818696692</c:v>
                </c:pt>
                <c:pt idx="73">
                  <c:v>14574.52818696692</c:v>
                </c:pt>
                <c:pt idx="74">
                  <c:v>14574.52818696692</c:v>
                </c:pt>
                <c:pt idx="75">
                  <c:v>42538.40314789465</c:v>
                </c:pt>
                <c:pt idx="76">
                  <c:v>42538.40314789465</c:v>
                </c:pt>
                <c:pt idx="77">
                  <c:v>42538.40314789465</c:v>
                </c:pt>
                <c:pt idx="78">
                  <c:v>42538.40314789465</c:v>
                </c:pt>
                <c:pt idx="79">
                  <c:v>42538.40314789465</c:v>
                </c:pt>
                <c:pt idx="80">
                  <c:v>42538.40314789465</c:v>
                </c:pt>
                <c:pt idx="81">
                  <c:v>42538.40314789465</c:v>
                </c:pt>
                <c:pt idx="82">
                  <c:v>42538.40314789465</c:v>
                </c:pt>
                <c:pt idx="83">
                  <c:v>42538.40314789465</c:v>
                </c:pt>
                <c:pt idx="84">
                  <c:v>42538.40314789465</c:v>
                </c:pt>
                <c:pt idx="85">
                  <c:v>42538.40314789465</c:v>
                </c:pt>
                <c:pt idx="86">
                  <c:v>42538.40314789465</c:v>
                </c:pt>
                <c:pt idx="87">
                  <c:v>42538.40314789465</c:v>
                </c:pt>
                <c:pt idx="88">
                  <c:v>42538.40314789465</c:v>
                </c:pt>
                <c:pt idx="89">
                  <c:v>42538.40314789465</c:v>
                </c:pt>
                <c:pt idx="90">
                  <c:v>48955.46647417092</c:v>
                </c:pt>
                <c:pt idx="91">
                  <c:v>48955.46647417092</c:v>
                </c:pt>
                <c:pt idx="92">
                  <c:v>48955.46647417092</c:v>
                </c:pt>
                <c:pt idx="93">
                  <c:v>48955.46647417092</c:v>
                </c:pt>
                <c:pt idx="94">
                  <c:v>48955.46647417092</c:v>
                </c:pt>
                <c:pt idx="95">
                  <c:v>48955.46647417092</c:v>
                </c:pt>
                <c:pt idx="96">
                  <c:v>48955.46647417092</c:v>
                </c:pt>
                <c:pt idx="97">
                  <c:v>48955.46647417092</c:v>
                </c:pt>
                <c:pt idx="98">
                  <c:v>48955.46647417092</c:v>
                </c:pt>
                <c:pt idx="99">
                  <c:v>48955.46647417092</c:v>
                </c:pt>
              </c:numCache>
            </c:numRef>
          </c:val>
        </c:ser>
        <c:ser>
          <c:idx val="5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Percentiles!$F$8:$DA$8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Percentiles!$F$9:$DA$9</c:f>
              <c:numCache>
                <c:formatCode>0</c:formatCode>
                <c:ptCount val="100"/>
                <c:pt idx="0">
                  <c:v>11104.40242816527</c:v>
                </c:pt>
                <c:pt idx="1">
                  <c:v>11104.40242816527</c:v>
                </c:pt>
                <c:pt idx="2">
                  <c:v>11104.40242816527</c:v>
                </c:pt>
                <c:pt idx="3">
                  <c:v>11104.40242816527</c:v>
                </c:pt>
                <c:pt idx="4">
                  <c:v>11104.40242816527</c:v>
                </c:pt>
                <c:pt idx="5">
                  <c:v>11104.40242816527</c:v>
                </c:pt>
                <c:pt idx="6">
                  <c:v>11104.40242816527</c:v>
                </c:pt>
                <c:pt idx="7">
                  <c:v>11104.40242816527</c:v>
                </c:pt>
                <c:pt idx="8">
                  <c:v>11104.40242816527</c:v>
                </c:pt>
                <c:pt idx="9">
                  <c:v>11104.40242816527</c:v>
                </c:pt>
                <c:pt idx="10">
                  <c:v>11104.40242816527</c:v>
                </c:pt>
                <c:pt idx="11">
                  <c:v>11104.40242816527</c:v>
                </c:pt>
                <c:pt idx="12">
                  <c:v>11104.40242816527</c:v>
                </c:pt>
                <c:pt idx="13">
                  <c:v>11104.40242816527</c:v>
                </c:pt>
                <c:pt idx="14">
                  <c:v>11104.40242816527</c:v>
                </c:pt>
                <c:pt idx="15">
                  <c:v>11104.40242816527</c:v>
                </c:pt>
                <c:pt idx="16">
                  <c:v>11104.40242816527</c:v>
                </c:pt>
                <c:pt idx="17">
                  <c:v>11104.40242816527</c:v>
                </c:pt>
                <c:pt idx="18">
                  <c:v>11104.40242816527</c:v>
                </c:pt>
                <c:pt idx="19">
                  <c:v>11104.40242816527</c:v>
                </c:pt>
                <c:pt idx="20">
                  <c:v>11104.40242816527</c:v>
                </c:pt>
                <c:pt idx="21">
                  <c:v>11104.40242816527</c:v>
                </c:pt>
                <c:pt idx="22">
                  <c:v>11104.40242816527</c:v>
                </c:pt>
                <c:pt idx="23">
                  <c:v>11104.40242816527</c:v>
                </c:pt>
                <c:pt idx="24">
                  <c:v>11104.40242816527</c:v>
                </c:pt>
                <c:pt idx="25">
                  <c:v>11104.40242816527</c:v>
                </c:pt>
                <c:pt idx="26">
                  <c:v>11104.40242816527</c:v>
                </c:pt>
                <c:pt idx="27">
                  <c:v>11104.40242816527</c:v>
                </c:pt>
                <c:pt idx="28">
                  <c:v>11104.40242816527</c:v>
                </c:pt>
                <c:pt idx="29">
                  <c:v>11104.40242816527</c:v>
                </c:pt>
                <c:pt idx="30">
                  <c:v>11104.40242816527</c:v>
                </c:pt>
                <c:pt idx="31">
                  <c:v>11104.40242816527</c:v>
                </c:pt>
                <c:pt idx="32">
                  <c:v>11104.40242816527</c:v>
                </c:pt>
                <c:pt idx="33">
                  <c:v>11104.40242816527</c:v>
                </c:pt>
                <c:pt idx="34">
                  <c:v>11104.40242816527</c:v>
                </c:pt>
                <c:pt idx="35">
                  <c:v>11104.40242816527</c:v>
                </c:pt>
                <c:pt idx="36">
                  <c:v>11104.40242816527</c:v>
                </c:pt>
                <c:pt idx="37">
                  <c:v>11104.40242816527</c:v>
                </c:pt>
                <c:pt idx="38">
                  <c:v>11104.40242816527</c:v>
                </c:pt>
                <c:pt idx="39">
                  <c:v>11104.40242816527</c:v>
                </c:pt>
                <c:pt idx="40">
                  <c:v>11104.40242816527</c:v>
                </c:pt>
                <c:pt idx="41">
                  <c:v>11104.40242816527</c:v>
                </c:pt>
                <c:pt idx="42">
                  <c:v>11104.40242816527</c:v>
                </c:pt>
                <c:pt idx="43">
                  <c:v>11104.40242816527</c:v>
                </c:pt>
                <c:pt idx="44">
                  <c:v>11104.40242816527</c:v>
                </c:pt>
                <c:pt idx="45">
                  <c:v>11104.40242816527</c:v>
                </c:pt>
                <c:pt idx="46">
                  <c:v>11104.40242816527</c:v>
                </c:pt>
                <c:pt idx="47">
                  <c:v>11104.40242816527</c:v>
                </c:pt>
                <c:pt idx="48">
                  <c:v>11104.40242816527</c:v>
                </c:pt>
                <c:pt idx="49">
                  <c:v>11104.40242816527</c:v>
                </c:pt>
                <c:pt idx="50">
                  <c:v>7414.324082805734</c:v>
                </c:pt>
                <c:pt idx="51">
                  <c:v>7414.324082805734</c:v>
                </c:pt>
                <c:pt idx="52">
                  <c:v>7414.324082805734</c:v>
                </c:pt>
                <c:pt idx="53">
                  <c:v>7414.324082805734</c:v>
                </c:pt>
                <c:pt idx="54">
                  <c:v>7414.324082805734</c:v>
                </c:pt>
                <c:pt idx="55">
                  <c:v>7414.324082805734</c:v>
                </c:pt>
                <c:pt idx="56">
                  <c:v>7414.324082805734</c:v>
                </c:pt>
                <c:pt idx="57">
                  <c:v>7414.324082805734</c:v>
                </c:pt>
                <c:pt idx="58">
                  <c:v>7414.324082805734</c:v>
                </c:pt>
                <c:pt idx="59">
                  <c:v>7414.324082805734</c:v>
                </c:pt>
                <c:pt idx="60">
                  <c:v>7414.324082805734</c:v>
                </c:pt>
                <c:pt idx="61">
                  <c:v>7414.324082805734</c:v>
                </c:pt>
                <c:pt idx="62">
                  <c:v>7414.324082805734</c:v>
                </c:pt>
                <c:pt idx="63">
                  <c:v>7414.324082805734</c:v>
                </c:pt>
                <c:pt idx="64">
                  <c:v>7414.324082805734</c:v>
                </c:pt>
                <c:pt idx="65">
                  <c:v>7414.324082805734</c:v>
                </c:pt>
                <c:pt idx="66">
                  <c:v>7414.324082805734</c:v>
                </c:pt>
                <c:pt idx="67">
                  <c:v>7414.324082805734</c:v>
                </c:pt>
                <c:pt idx="68">
                  <c:v>7414.324082805734</c:v>
                </c:pt>
                <c:pt idx="69">
                  <c:v>7414.324082805734</c:v>
                </c:pt>
                <c:pt idx="70">
                  <c:v>7414.324082805734</c:v>
                </c:pt>
                <c:pt idx="71">
                  <c:v>7414.324082805734</c:v>
                </c:pt>
                <c:pt idx="72">
                  <c:v>7414.324082805734</c:v>
                </c:pt>
                <c:pt idx="73">
                  <c:v>7414.324082805734</c:v>
                </c:pt>
                <c:pt idx="74">
                  <c:v>7414.324082805734</c:v>
                </c:pt>
                <c:pt idx="75">
                  <c:v>32800.69640319587</c:v>
                </c:pt>
                <c:pt idx="76">
                  <c:v>32800.69640319587</c:v>
                </c:pt>
                <c:pt idx="77">
                  <c:v>32800.69640319587</c:v>
                </c:pt>
                <c:pt idx="78">
                  <c:v>32800.69640319587</c:v>
                </c:pt>
                <c:pt idx="79">
                  <c:v>32800.69640319587</c:v>
                </c:pt>
                <c:pt idx="80">
                  <c:v>32800.69640319587</c:v>
                </c:pt>
                <c:pt idx="81">
                  <c:v>32800.69640319587</c:v>
                </c:pt>
                <c:pt idx="82">
                  <c:v>32800.69640319587</c:v>
                </c:pt>
                <c:pt idx="83">
                  <c:v>32800.69640319587</c:v>
                </c:pt>
                <c:pt idx="84">
                  <c:v>32800.69640319587</c:v>
                </c:pt>
                <c:pt idx="85">
                  <c:v>32800.69640319587</c:v>
                </c:pt>
                <c:pt idx="86">
                  <c:v>32800.69640319587</c:v>
                </c:pt>
                <c:pt idx="87">
                  <c:v>32800.69640319587</c:v>
                </c:pt>
                <c:pt idx="88">
                  <c:v>32800.69640319587</c:v>
                </c:pt>
                <c:pt idx="89">
                  <c:v>32800.69640319587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Percentiles!$F$10:$DA$10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113008.6493266358</c:v>
                </c:pt>
                <c:pt idx="91">
                  <c:v>113008.6493266358</c:v>
                </c:pt>
                <c:pt idx="92">
                  <c:v>113008.6493266358</c:v>
                </c:pt>
                <c:pt idx="93">
                  <c:v>113008.6493266358</c:v>
                </c:pt>
                <c:pt idx="94">
                  <c:v>113008.6493266358</c:v>
                </c:pt>
                <c:pt idx="95">
                  <c:v>113008.6493266358</c:v>
                </c:pt>
                <c:pt idx="96">
                  <c:v>113008.6493266358</c:v>
                </c:pt>
                <c:pt idx="97">
                  <c:v>113008.6493266358</c:v>
                </c:pt>
                <c:pt idx="98">
                  <c:v>113008.6493266358</c:v>
                </c:pt>
                <c:pt idx="99">
                  <c:v>113008.6493266358</c:v>
                </c:pt>
              </c:numCache>
            </c:numRef>
          </c:val>
        </c:ser>
        <c:ser>
          <c:idx val="8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Percentiles!$F$11:$DA$11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Percentiles!$F$12:$DA$12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13017.77638501836</c:v>
                </c:pt>
                <c:pt idx="76">
                  <c:v>13017.77638501836</c:v>
                </c:pt>
                <c:pt idx="77">
                  <c:v>13017.77638501836</c:v>
                </c:pt>
                <c:pt idx="78">
                  <c:v>13017.77638501836</c:v>
                </c:pt>
                <c:pt idx="79">
                  <c:v>13017.77638501836</c:v>
                </c:pt>
                <c:pt idx="80">
                  <c:v>13017.77638501836</c:v>
                </c:pt>
                <c:pt idx="81">
                  <c:v>13017.77638501836</c:v>
                </c:pt>
                <c:pt idx="82">
                  <c:v>13017.77638501836</c:v>
                </c:pt>
                <c:pt idx="83">
                  <c:v>13017.77638501836</c:v>
                </c:pt>
                <c:pt idx="84">
                  <c:v>13017.77638501836</c:v>
                </c:pt>
                <c:pt idx="85">
                  <c:v>13017.77638501836</c:v>
                </c:pt>
                <c:pt idx="86">
                  <c:v>13017.77638501836</c:v>
                </c:pt>
                <c:pt idx="87">
                  <c:v>13017.77638501836</c:v>
                </c:pt>
                <c:pt idx="88">
                  <c:v>13017.77638501836</c:v>
                </c:pt>
                <c:pt idx="89">
                  <c:v>13017.77638501836</c:v>
                </c:pt>
                <c:pt idx="90">
                  <c:v>93725.42741772571</c:v>
                </c:pt>
                <c:pt idx="91">
                  <c:v>93725.42741772571</c:v>
                </c:pt>
                <c:pt idx="92">
                  <c:v>93725.42741772571</c:v>
                </c:pt>
                <c:pt idx="93">
                  <c:v>93725.42741772571</c:v>
                </c:pt>
                <c:pt idx="94">
                  <c:v>93725.42741772571</c:v>
                </c:pt>
                <c:pt idx="95">
                  <c:v>93725.42741772571</c:v>
                </c:pt>
                <c:pt idx="96">
                  <c:v>93725.42741772571</c:v>
                </c:pt>
                <c:pt idx="97">
                  <c:v>93725.42741772571</c:v>
                </c:pt>
                <c:pt idx="98">
                  <c:v>93725.42741772571</c:v>
                </c:pt>
                <c:pt idx="99">
                  <c:v>93725.42741772571</c:v>
                </c:pt>
              </c:numCache>
            </c:numRef>
          </c:val>
        </c:ser>
        <c:ser>
          <c:idx val="10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Percentiles!$F$13:$DA$13</c:f>
              <c:numCache>
                <c:formatCode>0</c:formatCode>
                <c:ptCount val="100"/>
                <c:pt idx="0">
                  <c:v>2094.712017250783</c:v>
                </c:pt>
                <c:pt idx="1">
                  <c:v>2094.712017250783</c:v>
                </c:pt>
                <c:pt idx="2">
                  <c:v>2094.712017250783</c:v>
                </c:pt>
                <c:pt idx="3">
                  <c:v>2094.712017250783</c:v>
                </c:pt>
                <c:pt idx="4">
                  <c:v>2094.712017250783</c:v>
                </c:pt>
                <c:pt idx="5">
                  <c:v>2094.712017250783</c:v>
                </c:pt>
                <c:pt idx="6">
                  <c:v>2094.712017250783</c:v>
                </c:pt>
                <c:pt idx="7">
                  <c:v>2094.712017250783</c:v>
                </c:pt>
                <c:pt idx="8">
                  <c:v>2094.712017250783</c:v>
                </c:pt>
                <c:pt idx="9">
                  <c:v>2094.712017250783</c:v>
                </c:pt>
                <c:pt idx="10">
                  <c:v>2094.712017250783</c:v>
                </c:pt>
                <c:pt idx="11">
                  <c:v>2094.712017250783</c:v>
                </c:pt>
                <c:pt idx="12">
                  <c:v>2094.712017250783</c:v>
                </c:pt>
                <c:pt idx="13">
                  <c:v>2094.712017250783</c:v>
                </c:pt>
                <c:pt idx="14">
                  <c:v>2094.712017250783</c:v>
                </c:pt>
                <c:pt idx="15">
                  <c:v>2094.712017250783</c:v>
                </c:pt>
                <c:pt idx="16">
                  <c:v>2094.712017250783</c:v>
                </c:pt>
                <c:pt idx="17">
                  <c:v>2094.712017250783</c:v>
                </c:pt>
                <c:pt idx="18">
                  <c:v>2094.712017250783</c:v>
                </c:pt>
                <c:pt idx="19">
                  <c:v>2094.712017250783</c:v>
                </c:pt>
                <c:pt idx="20">
                  <c:v>2094.712017250783</c:v>
                </c:pt>
                <c:pt idx="21">
                  <c:v>2094.712017250783</c:v>
                </c:pt>
                <c:pt idx="22">
                  <c:v>2094.712017250783</c:v>
                </c:pt>
                <c:pt idx="23">
                  <c:v>2094.712017250783</c:v>
                </c:pt>
                <c:pt idx="24">
                  <c:v>2094.712017250783</c:v>
                </c:pt>
                <c:pt idx="25">
                  <c:v>2094.712017250783</c:v>
                </c:pt>
                <c:pt idx="26">
                  <c:v>2094.712017250783</c:v>
                </c:pt>
                <c:pt idx="27">
                  <c:v>2094.712017250783</c:v>
                </c:pt>
                <c:pt idx="28">
                  <c:v>2094.712017250783</c:v>
                </c:pt>
                <c:pt idx="29">
                  <c:v>2094.712017250783</c:v>
                </c:pt>
                <c:pt idx="30">
                  <c:v>2094.712017250783</c:v>
                </c:pt>
                <c:pt idx="31">
                  <c:v>2094.712017250783</c:v>
                </c:pt>
                <c:pt idx="32">
                  <c:v>2094.712017250783</c:v>
                </c:pt>
                <c:pt idx="33">
                  <c:v>2094.712017250783</c:v>
                </c:pt>
                <c:pt idx="34">
                  <c:v>2094.712017250783</c:v>
                </c:pt>
                <c:pt idx="35">
                  <c:v>2094.712017250783</c:v>
                </c:pt>
                <c:pt idx="36">
                  <c:v>2094.712017250783</c:v>
                </c:pt>
                <c:pt idx="37">
                  <c:v>2094.712017250783</c:v>
                </c:pt>
                <c:pt idx="38">
                  <c:v>2094.712017250783</c:v>
                </c:pt>
                <c:pt idx="39">
                  <c:v>2094.712017250783</c:v>
                </c:pt>
                <c:pt idx="40">
                  <c:v>2094.712017250783</c:v>
                </c:pt>
                <c:pt idx="41">
                  <c:v>2094.712017250783</c:v>
                </c:pt>
                <c:pt idx="42">
                  <c:v>2094.712017250783</c:v>
                </c:pt>
                <c:pt idx="43">
                  <c:v>2094.712017250783</c:v>
                </c:pt>
                <c:pt idx="44">
                  <c:v>2094.712017250783</c:v>
                </c:pt>
                <c:pt idx="45">
                  <c:v>2094.712017250783</c:v>
                </c:pt>
                <c:pt idx="46">
                  <c:v>2094.712017250783</c:v>
                </c:pt>
                <c:pt idx="47">
                  <c:v>2094.712017250783</c:v>
                </c:pt>
                <c:pt idx="48">
                  <c:v>2094.712017250783</c:v>
                </c:pt>
                <c:pt idx="49">
                  <c:v>2094.712017250783</c:v>
                </c:pt>
                <c:pt idx="50">
                  <c:v>2094.712017250784</c:v>
                </c:pt>
                <c:pt idx="51">
                  <c:v>2094.712017250784</c:v>
                </c:pt>
                <c:pt idx="52">
                  <c:v>2094.712017250784</c:v>
                </c:pt>
                <c:pt idx="53">
                  <c:v>2094.712017250784</c:v>
                </c:pt>
                <c:pt idx="54">
                  <c:v>2094.712017250784</c:v>
                </c:pt>
                <c:pt idx="55">
                  <c:v>2094.712017250784</c:v>
                </c:pt>
                <c:pt idx="56">
                  <c:v>2094.712017250784</c:v>
                </c:pt>
                <c:pt idx="57">
                  <c:v>2094.712017250784</c:v>
                </c:pt>
                <c:pt idx="58">
                  <c:v>2094.712017250784</c:v>
                </c:pt>
                <c:pt idx="59">
                  <c:v>2094.712017250784</c:v>
                </c:pt>
                <c:pt idx="60">
                  <c:v>2094.712017250784</c:v>
                </c:pt>
                <c:pt idx="61">
                  <c:v>2094.712017250784</c:v>
                </c:pt>
                <c:pt idx="62">
                  <c:v>2094.712017250784</c:v>
                </c:pt>
                <c:pt idx="63">
                  <c:v>2094.712017250784</c:v>
                </c:pt>
                <c:pt idx="64">
                  <c:v>2094.712017250784</c:v>
                </c:pt>
                <c:pt idx="65">
                  <c:v>2094.712017250784</c:v>
                </c:pt>
                <c:pt idx="66">
                  <c:v>2094.712017250784</c:v>
                </c:pt>
                <c:pt idx="67">
                  <c:v>2094.712017250784</c:v>
                </c:pt>
                <c:pt idx="68">
                  <c:v>2094.712017250784</c:v>
                </c:pt>
                <c:pt idx="69">
                  <c:v>2094.712017250784</c:v>
                </c:pt>
                <c:pt idx="70">
                  <c:v>2094.712017250784</c:v>
                </c:pt>
                <c:pt idx="71">
                  <c:v>2094.712017250784</c:v>
                </c:pt>
                <c:pt idx="72">
                  <c:v>2094.712017250784</c:v>
                </c:pt>
                <c:pt idx="73">
                  <c:v>2094.712017250784</c:v>
                </c:pt>
                <c:pt idx="74">
                  <c:v>2094.712017250784</c:v>
                </c:pt>
                <c:pt idx="75">
                  <c:v>2094.712017250783</c:v>
                </c:pt>
                <c:pt idx="76">
                  <c:v>2094.712017250783</c:v>
                </c:pt>
                <c:pt idx="77">
                  <c:v>2094.712017250783</c:v>
                </c:pt>
                <c:pt idx="78">
                  <c:v>2094.712017250783</c:v>
                </c:pt>
                <c:pt idx="79">
                  <c:v>2094.712017250783</c:v>
                </c:pt>
                <c:pt idx="80">
                  <c:v>2094.712017250783</c:v>
                </c:pt>
                <c:pt idx="81">
                  <c:v>2094.712017250783</c:v>
                </c:pt>
                <c:pt idx="82">
                  <c:v>2094.712017250783</c:v>
                </c:pt>
                <c:pt idx="83">
                  <c:v>2094.712017250783</c:v>
                </c:pt>
                <c:pt idx="84">
                  <c:v>2094.712017250783</c:v>
                </c:pt>
                <c:pt idx="85">
                  <c:v>2094.712017250783</c:v>
                </c:pt>
                <c:pt idx="86">
                  <c:v>2094.712017250783</c:v>
                </c:pt>
                <c:pt idx="87">
                  <c:v>2094.712017250783</c:v>
                </c:pt>
                <c:pt idx="88">
                  <c:v>2094.712017250783</c:v>
                </c:pt>
                <c:pt idx="89">
                  <c:v>2094.712017250783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3"/>
          <c:order val="11"/>
          <c:tx>
            <c:strRef>
              <c:f>Percentiles!$A$14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Percentiles!$F$14:$DA$14</c:f>
              <c:numCache>
                <c:formatCode>0</c:formatCode>
                <c:ptCount val="100"/>
                <c:pt idx="0">
                  <c:v>34543.23339961566</c:v>
                </c:pt>
                <c:pt idx="1">
                  <c:v>34543.23339961566</c:v>
                </c:pt>
                <c:pt idx="2">
                  <c:v>34543.23339961566</c:v>
                </c:pt>
                <c:pt idx="3">
                  <c:v>34543.23339961566</c:v>
                </c:pt>
                <c:pt idx="4">
                  <c:v>34543.23339961566</c:v>
                </c:pt>
                <c:pt idx="5">
                  <c:v>34543.23339961566</c:v>
                </c:pt>
                <c:pt idx="6">
                  <c:v>34543.23339961566</c:v>
                </c:pt>
                <c:pt idx="7">
                  <c:v>34543.23339961566</c:v>
                </c:pt>
                <c:pt idx="8">
                  <c:v>34543.23339961566</c:v>
                </c:pt>
                <c:pt idx="9">
                  <c:v>34543.23339961566</c:v>
                </c:pt>
                <c:pt idx="10">
                  <c:v>34543.23339961566</c:v>
                </c:pt>
                <c:pt idx="11">
                  <c:v>34543.23339961566</c:v>
                </c:pt>
                <c:pt idx="12">
                  <c:v>34543.23339961566</c:v>
                </c:pt>
                <c:pt idx="13">
                  <c:v>34543.23339961566</c:v>
                </c:pt>
                <c:pt idx="14">
                  <c:v>34543.23339961566</c:v>
                </c:pt>
                <c:pt idx="15">
                  <c:v>34543.23339961566</c:v>
                </c:pt>
                <c:pt idx="16">
                  <c:v>34543.23339961566</c:v>
                </c:pt>
                <c:pt idx="17">
                  <c:v>34543.23339961566</c:v>
                </c:pt>
                <c:pt idx="18">
                  <c:v>34543.23339961566</c:v>
                </c:pt>
                <c:pt idx="19">
                  <c:v>34543.23339961566</c:v>
                </c:pt>
                <c:pt idx="20">
                  <c:v>34543.23339961566</c:v>
                </c:pt>
                <c:pt idx="21">
                  <c:v>34543.23339961566</c:v>
                </c:pt>
                <c:pt idx="22">
                  <c:v>34543.23339961566</c:v>
                </c:pt>
                <c:pt idx="23">
                  <c:v>34543.23339961566</c:v>
                </c:pt>
                <c:pt idx="24">
                  <c:v>34543.23339961566</c:v>
                </c:pt>
                <c:pt idx="25">
                  <c:v>34543.23339961566</c:v>
                </c:pt>
                <c:pt idx="26">
                  <c:v>34543.23339961566</c:v>
                </c:pt>
                <c:pt idx="27">
                  <c:v>34543.23339961566</c:v>
                </c:pt>
                <c:pt idx="28">
                  <c:v>34543.23339961566</c:v>
                </c:pt>
                <c:pt idx="29">
                  <c:v>34543.23339961566</c:v>
                </c:pt>
                <c:pt idx="30">
                  <c:v>34543.23339961566</c:v>
                </c:pt>
                <c:pt idx="31">
                  <c:v>34543.23339961566</c:v>
                </c:pt>
                <c:pt idx="32">
                  <c:v>34543.23339961566</c:v>
                </c:pt>
                <c:pt idx="33">
                  <c:v>34543.23339961566</c:v>
                </c:pt>
                <c:pt idx="34">
                  <c:v>34543.23339961566</c:v>
                </c:pt>
                <c:pt idx="35">
                  <c:v>34543.23339961566</c:v>
                </c:pt>
                <c:pt idx="36">
                  <c:v>34543.23339961566</c:v>
                </c:pt>
                <c:pt idx="37">
                  <c:v>34543.23339961566</c:v>
                </c:pt>
                <c:pt idx="38">
                  <c:v>34543.23339961566</c:v>
                </c:pt>
                <c:pt idx="39">
                  <c:v>34543.23339961566</c:v>
                </c:pt>
                <c:pt idx="40">
                  <c:v>34543.23339961566</c:v>
                </c:pt>
                <c:pt idx="41">
                  <c:v>34543.23339961566</c:v>
                </c:pt>
                <c:pt idx="42">
                  <c:v>34543.23339961566</c:v>
                </c:pt>
                <c:pt idx="43">
                  <c:v>34543.23339961566</c:v>
                </c:pt>
                <c:pt idx="44">
                  <c:v>34543.23339961566</c:v>
                </c:pt>
                <c:pt idx="45">
                  <c:v>34543.23339961566</c:v>
                </c:pt>
                <c:pt idx="46">
                  <c:v>34543.23339961566</c:v>
                </c:pt>
                <c:pt idx="47">
                  <c:v>34543.23339961566</c:v>
                </c:pt>
                <c:pt idx="48">
                  <c:v>34543.23339961566</c:v>
                </c:pt>
                <c:pt idx="49">
                  <c:v>34543.23339961566</c:v>
                </c:pt>
                <c:pt idx="50">
                  <c:v>32916.01135148836</c:v>
                </c:pt>
                <c:pt idx="51">
                  <c:v>32916.01135148836</c:v>
                </c:pt>
                <c:pt idx="52">
                  <c:v>32916.01135148836</c:v>
                </c:pt>
                <c:pt idx="53">
                  <c:v>32916.01135148836</c:v>
                </c:pt>
                <c:pt idx="54">
                  <c:v>32916.01135148836</c:v>
                </c:pt>
                <c:pt idx="55">
                  <c:v>32916.01135148836</c:v>
                </c:pt>
                <c:pt idx="56">
                  <c:v>32916.01135148836</c:v>
                </c:pt>
                <c:pt idx="57">
                  <c:v>32916.01135148836</c:v>
                </c:pt>
                <c:pt idx="58">
                  <c:v>32916.01135148836</c:v>
                </c:pt>
                <c:pt idx="59">
                  <c:v>32916.01135148836</c:v>
                </c:pt>
                <c:pt idx="60">
                  <c:v>32916.01135148836</c:v>
                </c:pt>
                <c:pt idx="61">
                  <c:v>32916.01135148836</c:v>
                </c:pt>
                <c:pt idx="62">
                  <c:v>32916.01135148836</c:v>
                </c:pt>
                <c:pt idx="63">
                  <c:v>32916.01135148836</c:v>
                </c:pt>
                <c:pt idx="64">
                  <c:v>32916.01135148836</c:v>
                </c:pt>
                <c:pt idx="65">
                  <c:v>32916.01135148836</c:v>
                </c:pt>
                <c:pt idx="66">
                  <c:v>32916.01135148836</c:v>
                </c:pt>
                <c:pt idx="67">
                  <c:v>32916.01135148836</c:v>
                </c:pt>
                <c:pt idx="68">
                  <c:v>32916.01135148836</c:v>
                </c:pt>
                <c:pt idx="69">
                  <c:v>32916.01135148836</c:v>
                </c:pt>
                <c:pt idx="70">
                  <c:v>32916.01135148836</c:v>
                </c:pt>
                <c:pt idx="71">
                  <c:v>32916.01135148836</c:v>
                </c:pt>
                <c:pt idx="72">
                  <c:v>32916.01135148836</c:v>
                </c:pt>
                <c:pt idx="73">
                  <c:v>32916.01135148836</c:v>
                </c:pt>
                <c:pt idx="74">
                  <c:v>32916.01135148836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11390.55433689107</c:v>
                </c:pt>
                <c:pt idx="91">
                  <c:v>11390.55433689107</c:v>
                </c:pt>
                <c:pt idx="92">
                  <c:v>11390.55433689107</c:v>
                </c:pt>
                <c:pt idx="93">
                  <c:v>11390.55433689107</c:v>
                </c:pt>
                <c:pt idx="94">
                  <c:v>11390.55433689107</c:v>
                </c:pt>
                <c:pt idx="95">
                  <c:v>11390.55433689107</c:v>
                </c:pt>
                <c:pt idx="96">
                  <c:v>11390.55433689107</c:v>
                </c:pt>
                <c:pt idx="97">
                  <c:v>11390.55433689107</c:v>
                </c:pt>
                <c:pt idx="98">
                  <c:v>11390.55433689107</c:v>
                </c:pt>
                <c:pt idx="99">
                  <c:v>11390.55433689107</c:v>
                </c:pt>
              </c:numCache>
            </c:numRef>
          </c:val>
        </c:ser>
        <c:ser>
          <c:idx val="11"/>
          <c:order val="12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Percentiles!$F$15:$DA$15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20500.43525199742</c:v>
                </c:pt>
                <c:pt idx="76">
                  <c:v>20500.43525199742</c:v>
                </c:pt>
                <c:pt idx="77">
                  <c:v>20500.43525199742</c:v>
                </c:pt>
                <c:pt idx="78">
                  <c:v>20500.43525199742</c:v>
                </c:pt>
                <c:pt idx="79">
                  <c:v>20500.43525199742</c:v>
                </c:pt>
                <c:pt idx="80">
                  <c:v>20500.43525199742</c:v>
                </c:pt>
                <c:pt idx="81">
                  <c:v>20500.43525199742</c:v>
                </c:pt>
                <c:pt idx="82">
                  <c:v>20500.43525199742</c:v>
                </c:pt>
                <c:pt idx="83">
                  <c:v>20500.43525199742</c:v>
                </c:pt>
                <c:pt idx="84">
                  <c:v>20500.43525199742</c:v>
                </c:pt>
                <c:pt idx="85">
                  <c:v>20500.43525199742</c:v>
                </c:pt>
                <c:pt idx="86">
                  <c:v>20500.43525199742</c:v>
                </c:pt>
                <c:pt idx="87">
                  <c:v>20500.43525199742</c:v>
                </c:pt>
                <c:pt idx="88">
                  <c:v>20500.43525199742</c:v>
                </c:pt>
                <c:pt idx="89">
                  <c:v>20500.43525199742</c:v>
                </c:pt>
                <c:pt idx="90">
                  <c:v>38925.20143473011</c:v>
                </c:pt>
                <c:pt idx="91">
                  <c:v>38925.20143473011</c:v>
                </c:pt>
                <c:pt idx="92">
                  <c:v>38925.20143473011</c:v>
                </c:pt>
                <c:pt idx="93">
                  <c:v>38925.20143473011</c:v>
                </c:pt>
                <c:pt idx="94">
                  <c:v>38925.20143473011</c:v>
                </c:pt>
                <c:pt idx="95">
                  <c:v>38925.20143473011</c:v>
                </c:pt>
                <c:pt idx="96">
                  <c:v>38925.20143473011</c:v>
                </c:pt>
                <c:pt idx="97">
                  <c:v>38925.20143473011</c:v>
                </c:pt>
                <c:pt idx="98">
                  <c:v>38925.20143473011</c:v>
                </c:pt>
                <c:pt idx="99">
                  <c:v>38925.20143473011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04741368"/>
        <c:axId val="-2081306232"/>
      </c:barChart>
      <c:lineChart>
        <c:grouping val="standard"/>
        <c:varyColors val="0"/>
        <c:ser>
          <c:idx val="12"/>
          <c:order val="13"/>
          <c:tx>
            <c:strRef>
              <c:f>Percentiles!$A$17</c:f>
              <c:strCache>
                <c:ptCount val="1"/>
                <c:pt idx="0">
                  <c:v>Survival Threshold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Percentiles!$F$17:$DA$17</c:f>
              <c:numCache>
                <c:formatCode>0</c:formatCode>
                <c:ptCount val="100"/>
                <c:pt idx="0">
                  <c:v>35969.40697206206</c:v>
                </c:pt>
                <c:pt idx="1">
                  <c:v>35969.40697206206</c:v>
                </c:pt>
                <c:pt idx="2">
                  <c:v>35969.40697206206</c:v>
                </c:pt>
                <c:pt idx="3">
                  <c:v>35969.40697206206</c:v>
                </c:pt>
                <c:pt idx="4">
                  <c:v>35969.40697206206</c:v>
                </c:pt>
                <c:pt idx="5">
                  <c:v>35969.40697206206</c:v>
                </c:pt>
                <c:pt idx="6">
                  <c:v>35969.40697206206</c:v>
                </c:pt>
                <c:pt idx="7">
                  <c:v>35969.40697206206</c:v>
                </c:pt>
                <c:pt idx="8">
                  <c:v>35969.40697206206</c:v>
                </c:pt>
                <c:pt idx="9">
                  <c:v>35969.40697206206</c:v>
                </c:pt>
                <c:pt idx="10">
                  <c:v>35969.40697206206</c:v>
                </c:pt>
                <c:pt idx="11">
                  <c:v>35969.40697206206</c:v>
                </c:pt>
                <c:pt idx="12">
                  <c:v>35969.40697206206</c:v>
                </c:pt>
                <c:pt idx="13">
                  <c:v>35969.40697206206</c:v>
                </c:pt>
                <c:pt idx="14">
                  <c:v>35969.40697206206</c:v>
                </c:pt>
                <c:pt idx="15">
                  <c:v>35969.40697206206</c:v>
                </c:pt>
                <c:pt idx="16">
                  <c:v>35969.40697206206</c:v>
                </c:pt>
                <c:pt idx="17">
                  <c:v>35969.40697206206</c:v>
                </c:pt>
                <c:pt idx="18">
                  <c:v>35969.40697206206</c:v>
                </c:pt>
                <c:pt idx="19">
                  <c:v>35969.40697206206</c:v>
                </c:pt>
                <c:pt idx="20">
                  <c:v>35969.40697206206</c:v>
                </c:pt>
                <c:pt idx="21">
                  <c:v>35969.40697206206</c:v>
                </c:pt>
                <c:pt idx="22">
                  <c:v>35969.40697206206</c:v>
                </c:pt>
                <c:pt idx="23">
                  <c:v>35969.40697206206</c:v>
                </c:pt>
                <c:pt idx="24">
                  <c:v>35969.40697206206</c:v>
                </c:pt>
                <c:pt idx="25">
                  <c:v>35969.40697206206</c:v>
                </c:pt>
                <c:pt idx="26">
                  <c:v>35969.40697206206</c:v>
                </c:pt>
                <c:pt idx="27">
                  <c:v>35969.40697206206</c:v>
                </c:pt>
                <c:pt idx="28">
                  <c:v>35969.40697206206</c:v>
                </c:pt>
                <c:pt idx="29">
                  <c:v>35969.40697206206</c:v>
                </c:pt>
                <c:pt idx="30">
                  <c:v>35969.40697206206</c:v>
                </c:pt>
                <c:pt idx="31">
                  <c:v>35969.40697206206</c:v>
                </c:pt>
                <c:pt idx="32">
                  <c:v>35969.40697206206</c:v>
                </c:pt>
                <c:pt idx="33">
                  <c:v>35969.40697206206</c:v>
                </c:pt>
                <c:pt idx="34">
                  <c:v>35969.40697206206</c:v>
                </c:pt>
                <c:pt idx="35">
                  <c:v>35969.40697206206</c:v>
                </c:pt>
                <c:pt idx="36">
                  <c:v>35969.40697206206</c:v>
                </c:pt>
                <c:pt idx="37">
                  <c:v>35969.40697206206</c:v>
                </c:pt>
                <c:pt idx="38">
                  <c:v>35969.40697206206</c:v>
                </c:pt>
                <c:pt idx="39">
                  <c:v>35969.40697206206</c:v>
                </c:pt>
                <c:pt idx="40">
                  <c:v>35969.40697206206</c:v>
                </c:pt>
                <c:pt idx="41">
                  <c:v>35969.40697206206</c:v>
                </c:pt>
                <c:pt idx="42">
                  <c:v>35969.40697206206</c:v>
                </c:pt>
                <c:pt idx="43">
                  <c:v>35969.40697206206</c:v>
                </c:pt>
                <c:pt idx="44">
                  <c:v>35969.40697206206</c:v>
                </c:pt>
                <c:pt idx="45">
                  <c:v>35969.40697206206</c:v>
                </c:pt>
                <c:pt idx="46">
                  <c:v>35969.40697206206</c:v>
                </c:pt>
                <c:pt idx="47">
                  <c:v>35969.40697206206</c:v>
                </c:pt>
                <c:pt idx="48">
                  <c:v>35969.40697206206</c:v>
                </c:pt>
                <c:pt idx="49">
                  <c:v>35969.40697206206</c:v>
                </c:pt>
                <c:pt idx="50">
                  <c:v>35969.40697206205</c:v>
                </c:pt>
                <c:pt idx="51">
                  <c:v>35969.40697206205</c:v>
                </c:pt>
                <c:pt idx="52">
                  <c:v>35969.40697206205</c:v>
                </c:pt>
                <c:pt idx="53">
                  <c:v>35969.40697206205</c:v>
                </c:pt>
                <c:pt idx="54">
                  <c:v>35969.40697206205</c:v>
                </c:pt>
                <c:pt idx="55">
                  <c:v>35969.40697206205</c:v>
                </c:pt>
                <c:pt idx="56">
                  <c:v>35969.40697206205</c:v>
                </c:pt>
                <c:pt idx="57">
                  <c:v>35969.40697206205</c:v>
                </c:pt>
                <c:pt idx="58">
                  <c:v>35969.40697206205</c:v>
                </c:pt>
                <c:pt idx="59">
                  <c:v>35969.40697206205</c:v>
                </c:pt>
                <c:pt idx="60">
                  <c:v>35969.40697206205</c:v>
                </c:pt>
                <c:pt idx="61">
                  <c:v>35969.40697206205</c:v>
                </c:pt>
                <c:pt idx="62">
                  <c:v>35969.40697206205</c:v>
                </c:pt>
                <c:pt idx="63">
                  <c:v>35969.40697206205</c:v>
                </c:pt>
                <c:pt idx="64">
                  <c:v>35969.40697206205</c:v>
                </c:pt>
                <c:pt idx="65">
                  <c:v>35969.40697206205</c:v>
                </c:pt>
                <c:pt idx="66">
                  <c:v>35969.40697206205</c:v>
                </c:pt>
                <c:pt idx="67">
                  <c:v>35969.40697206205</c:v>
                </c:pt>
                <c:pt idx="68">
                  <c:v>35969.40697206205</c:v>
                </c:pt>
                <c:pt idx="69">
                  <c:v>35969.40697206205</c:v>
                </c:pt>
                <c:pt idx="70">
                  <c:v>35969.40697206205</c:v>
                </c:pt>
                <c:pt idx="71">
                  <c:v>35969.40697206205</c:v>
                </c:pt>
                <c:pt idx="72">
                  <c:v>35969.40697206205</c:v>
                </c:pt>
                <c:pt idx="73">
                  <c:v>35969.40697206205</c:v>
                </c:pt>
                <c:pt idx="74">
                  <c:v>35969.40697206205</c:v>
                </c:pt>
                <c:pt idx="75">
                  <c:v>35969.40697206205</c:v>
                </c:pt>
                <c:pt idx="76">
                  <c:v>35969.40697206205</c:v>
                </c:pt>
                <c:pt idx="77">
                  <c:v>35969.40697206205</c:v>
                </c:pt>
                <c:pt idx="78">
                  <c:v>35969.40697206205</c:v>
                </c:pt>
                <c:pt idx="79">
                  <c:v>35969.40697206205</c:v>
                </c:pt>
                <c:pt idx="80">
                  <c:v>35969.40697206205</c:v>
                </c:pt>
                <c:pt idx="81">
                  <c:v>35969.40697206205</c:v>
                </c:pt>
                <c:pt idx="82">
                  <c:v>35969.40697206205</c:v>
                </c:pt>
                <c:pt idx="83">
                  <c:v>35969.40697206205</c:v>
                </c:pt>
                <c:pt idx="84">
                  <c:v>35969.40697206205</c:v>
                </c:pt>
                <c:pt idx="85">
                  <c:v>35969.40697206205</c:v>
                </c:pt>
                <c:pt idx="86">
                  <c:v>35969.40697206205</c:v>
                </c:pt>
                <c:pt idx="87">
                  <c:v>35969.40697206205</c:v>
                </c:pt>
                <c:pt idx="88">
                  <c:v>35969.40697206205</c:v>
                </c:pt>
                <c:pt idx="89">
                  <c:v>35969.40697206205</c:v>
                </c:pt>
                <c:pt idx="90">
                  <c:v>35969.40697206206</c:v>
                </c:pt>
                <c:pt idx="91">
                  <c:v>35969.40697206206</c:v>
                </c:pt>
                <c:pt idx="92">
                  <c:v>35969.40697206206</c:v>
                </c:pt>
                <c:pt idx="93">
                  <c:v>35969.40697206206</c:v>
                </c:pt>
                <c:pt idx="94">
                  <c:v>35969.40697206206</c:v>
                </c:pt>
                <c:pt idx="95">
                  <c:v>35969.40697206206</c:v>
                </c:pt>
                <c:pt idx="96">
                  <c:v>35969.40697206206</c:v>
                </c:pt>
                <c:pt idx="97">
                  <c:v>35969.40697206206</c:v>
                </c:pt>
                <c:pt idx="98">
                  <c:v>35969.40697206206</c:v>
                </c:pt>
                <c:pt idx="99">
                  <c:v>35969.40697206206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4741368"/>
        <c:axId val="-2081306232"/>
      </c:lineChart>
      <c:scatterChart>
        <c:scatterStyle val="lineMarker"/>
        <c:varyColors val="0"/>
        <c:ser>
          <c:idx val="14"/>
          <c:order val="14"/>
          <c:tx>
            <c:strRef>
              <c:f>Percentiles!$A$19</c:f>
              <c:strCache>
                <c:ptCount val="1"/>
                <c:pt idx="0">
                  <c:v>Joining lines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xVal>
            <c:numRef>
              <c:f>Percentiles!$S$22:$CW$22</c:f>
              <c:numCache>
                <c:formatCode>0</c:formatCode>
                <c:ptCount val="83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  <c:pt idx="5">
                  <c:v>18.0</c:v>
                </c:pt>
                <c:pt idx="6">
                  <c:v>19.0</c:v>
                </c:pt>
                <c:pt idx="7">
                  <c:v>20.0</c:v>
                </c:pt>
                <c:pt idx="8">
                  <c:v>21.0</c:v>
                </c:pt>
                <c:pt idx="9">
                  <c:v>22.0</c:v>
                </c:pt>
                <c:pt idx="10">
                  <c:v>23.0</c:v>
                </c:pt>
                <c:pt idx="11">
                  <c:v>24.0</c:v>
                </c:pt>
                <c:pt idx="12">
                  <c:v>25.0</c:v>
                </c:pt>
                <c:pt idx="13">
                  <c:v>26.0</c:v>
                </c:pt>
                <c:pt idx="14">
                  <c:v>27.0</c:v>
                </c:pt>
                <c:pt idx="15">
                  <c:v>28.0</c:v>
                </c:pt>
                <c:pt idx="16">
                  <c:v>29.0</c:v>
                </c:pt>
                <c:pt idx="17">
                  <c:v>30.0</c:v>
                </c:pt>
                <c:pt idx="18">
                  <c:v>31.0</c:v>
                </c:pt>
                <c:pt idx="19">
                  <c:v>32.0</c:v>
                </c:pt>
                <c:pt idx="20">
                  <c:v>33.0</c:v>
                </c:pt>
                <c:pt idx="21">
                  <c:v>34.0</c:v>
                </c:pt>
                <c:pt idx="22">
                  <c:v>35.0</c:v>
                </c:pt>
                <c:pt idx="23">
                  <c:v>36.0</c:v>
                </c:pt>
                <c:pt idx="24">
                  <c:v>37.0</c:v>
                </c:pt>
                <c:pt idx="25">
                  <c:v>38.0</c:v>
                </c:pt>
                <c:pt idx="26">
                  <c:v>39.0</c:v>
                </c:pt>
                <c:pt idx="27">
                  <c:v>40.0</c:v>
                </c:pt>
                <c:pt idx="28">
                  <c:v>41.0</c:v>
                </c:pt>
                <c:pt idx="29">
                  <c:v>42.0</c:v>
                </c:pt>
                <c:pt idx="30">
                  <c:v>43.0</c:v>
                </c:pt>
                <c:pt idx="31">
                  <c:v>44.0</c:v>
                </c:pt>
                <c:pt idx="32">
                  <c:v>45.0</c:v>
                </c:pt>
                <c:pt idx="33">
                  <c:v>46.0</c:v>
                </c:pt>
                <c:pt idx="34">
                  <c:v>47.0</c:v>
                </c:pt>
                <c:pt idx="35">
                  <c:v>48.0</c:v>
                </c:pt>
                <c:pt idx="36">
                  <c:v>49.0</c:v>
                </c:pt>
                <c:pt idx="37">
                  <c:v>50.0</c:v>
                </c:pt>
                <c:pt idx="38">
                  <c:v>51.0</c:v>
                </c:pt>
                <c:pt idx="39">
                  <c:v>52.0</c:v>
                </c:pt>
                <c:pt idx="40">
                  <c:v>53.0</c:v>
                </c:pt>
                <c:pt idx="41">
                  <c:v>54.0</c:v>
                </c:pt>
                <c:pt idx="42">
                  <c:v>55.0</c:v>
                </c:pt>
                <c:pt idx="43">
                  <c:v>56.0</c:v>
                </c:pt>
                <c:pt idx="44">
                  <c:v>57.0</c:v>
                </c:pt>
                <c:pt idx="45">
                  <c:v>58.0</c:v>
                </c:pt>
                <c:pt idx="46">
                  <c:v>59.0</c:v>
                </c:pt>
                <c:pt idx="47">
                  <c:v>60.0</c:v>
                </c:pt>
                <c:pt idx="48">
                  <c:v>61.0</c:v>
                </c:pt>
                <c:pt idx="49">
                  <c:v>62.0</c:v>
                </c:pt>
                <c:pt idx="50">
                  <c:v>63.0</c:v>
                </c:pt>
                <c:pt idx="51">
                  <c:v>64.0</c:v>
                </c:pt>
                <c:pt idx="52">
                  <c:v>65.0</c:v>
                </c:pt>
                <c:pt idx="53">
                  <c:v>66.0</c:v>
                </c:pt>
                <c:pt idx="54">
                  <c:v>67.0</c:v>
                </c:pt>
                <c:pt idx="55">
                  <c:v>68.0</c:v>
                </c:pt>
                <c:pt idx="56">
                  <c:v>69.0</c:v>
                </c:pt>
                <c:pt idx="57">
                  <c:v>70.0</c:v>
                </c:pt>
                <c:pt idx="58">
                  <c:v>71.0</c:v>
                </c:pt>
                <c:pt idx="59">
                  <c:v>72.0</c:v>
                </c:pt>
                <c:pt idx="60">
                  <c:v>73.0</c:v>
                </c:pt>
                <c:pt idx="61">
                  <c:v>74.0</c:v>
                </c:pt>
                <c:pt idx="62">
                  <c:v>75.0</c:v>
                </c:pt>
                <c:pt idx="63">
                  <c:v>76.0</c:v>
                </c:pt>
                <c:pt idx="64">
                  <c:v>77.0</c:v>
                </c:pt>
                <c:pt idx="65">
                  <c:v>78.0</c:v>
                </c:pt>
                <c:pt idx="66">
                  <c:v>79.0</c:v>
                </c:pt>
                <c:pt idx="67">
                  <c:v>80.0</c:v>
                </c:pt>
                <c:pt idx="68">
                  <c:v>81.0</c:v>
                </c:pt>
                <c:pt idx="69">
                  <c:v>82.0</c:v>
                </c:pt>
                <c:pt idx="70">
                  <c:v>83.0</c:v>
                </c:pt>
                <c:pt idx="71">
                  <c:v>84.0</c:v>
                </c:pt>
                <c:pt idx="72">
                  <c:v>85.0</c:v>
                </c:pt>
                <c:pt idx="73">
                  <c:v>86.0</c:v>
                </c:pt>
                <c:pt idx="74">
                  <c:v>87.0</c:v>
                </c:pt>
                <c:pt idx="75">
                  <c:v>88.0</c:v>
                </c:pt>
                <c:pt idx="76">
                  <c:v>89.0</c:v>
                </c:pt>
                <c:pt idx="77">
                  <c:v>90.0</c:v>
                </c:pt>
                <c:pt idx="78">
                  <c:v>91.0</c:v>
                </c:pt>
                <c:pt idx="79">
                  <c:v>92.0</c:v>
                </c:pt>
                <c:pt idx="80">
                  <c:v>93.0</c:v>
                </c:pt>
                <c:pt idx="81">
                  <c:v>94.0</c:v>
                </c:pt>
                <c:pt idx="82">
                  <c:v>95.0</c:v>
                </c:pt>
              </c:numCache>
            </c:numRef>
          </c:xVal>
          <c:yVal>
            <c:numRef>
              <c:f>Percentiles!$S$19:$CW$19</c:f>
              <c:numCache>
                <c:formatCode>General</c:formatCode>
                <c:ptCount val="8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51313.71078537891</c:v>
                </c:pt>
                <c:pt idx="13">
                  <c:v>52256.62169510225</c:v>
                </c:pt>
                <c:pt idx="14">
                  <c:v>53199.53260482559</c:v>
                </c:pt>
                <c:pt idx="15">
                  <c:v>54142.44351454892</c:v>
                </c:pt>
                <c:pt idx="16">
                  <c:v>55085.35442427227</c:v>
                </c:pt>
                <c:pt idx="17">
                  <c:v>56028.26533399561</c:v>
                </c:pt>
                <c:pt idx="18">
                  <c:v>56971.17624371895</c:v>
                </c:pt>
                <c:pt idx="19">
                  <c:v>57914.08715344228</c:v>
                </c:pt>
                <c:pt idx="20">
                  <c:v>58856.99806316562</c:v>
                </c:pt>
                <c:pt idx="21">
                  <c:v>59799.90897288896</c:v>
                </c:pt>
                <c:pt idx="22">
                  <c:v>60742.8198826123</c:v>
                </c:pt>
                <c:pt idx="23">
                  <c:v>61685.73079233564</c:v>
                </c:pt>
                <c:pt idx="24">
                  <c:v>62628.64170205898</c:v>
                </c:pt>
                <c:pt idx="25">
                  <c:v>63571.55261178232</c:v>
                </c:pt>
                <c:pt idx="26">
                  <c:v>64514.46352150566</c:v>
                </c:pt>
                <c:pt idx="27">
                  <c:v>65457.374431229</c:v>
                </c:pt>
                <c:pt idx="28">
                  <c:v>66400.28534095233</c:v>
                </c:pt>
                <c:pt idx="29">
                  <c:v>67343.19625067568</c:v>
                </c:pt>
                <c:pt idx="30">
                  <c:v>68286.107160399</c:v>
                </c:pt>
                <c:pt idx="31">
                  <c:v>69229.01807012236</c:v>
                </c:pt>
                <c:pt idx="32">
                  <c:v>70171.92897984569</c:v>
                </c:pt>
                <c:pt idx="33">
                  <c:v>71114.83988956903</c:v>
                </c:pt>
                <c:pt idx="34">
                  <c:v>72057.75079929237</c:v>
                </c:pt>
                <c:pt idx="35">
                  <c:v>73000.6617090157</c:v>
                </c:pt>
                <c:pt idx="36">
                  <c:v>73943.57261873903</c:v>
                </c:pt>
                <c:pt idx="37">
                  <c:v>74886.48352846238</c:v>
                </c:pt>
                <c:pt idx="38">
                  <c:v>75829.39443818572</c:v>
                </c:pt>
                <c:pt idx="39">
                  <c:v>76772.30534790906</c:v>
                </c:pt>
                <c:pt idx="40">
                  <c:v>77715.2162576324</c:v>
                </c:pt>
                <c:pt idx="41">
                  <c:v>78658.12716735573</c:v>
                </c:pt>
                <c:pt idx="42">
                  <c:v>79601.03807707908</c:v>
                </c:pt>
                <c:pt idx="43">
                  <c:v>80543.94898680242</c:v>
                </c:pt>
                <c:pt idx="44">
                  <c:v>81486.85989652575</c:v>
                </c:pt>
                <c:pt idx="45">
                  <c:v>82429.7708062491</c:v>
                </c:pt>
                <c:pt idx="46">
                  <c:v>83372.68171597243</c:v>
                </c:pt>
                <c:pt idx="47">
                  <c:v>84315.59262569577</c:v>
                </c:pt>
                <c:pt idx="48">
                  <c:v>85258.50353541912</c:v>
                </c:pt>
                <c:pt idx="49">
                  <c:v>86201.41444514245</c:v>
                </c:pt>
                <c:pt idx="50">
                  <c:v>88380.91723010252</c:v>
                </c:pt>
                <c:pt idx="51">
                  <c:v>91797.01189029934</c:v>
                </c:pt>
                <c:pt idx="52">
                  <c:v>95213.10655049614</c:v>
                </c:pt>
                <c:pt idx="53">
                  <c:v>98629.20121069296</c:v>
                </c:pt>
                <c:pt idx="54">
                  <c:v>102045.2958708898</c:v>
                </c:pt>
                <c:pt idx="55">
                  <c:v>105461.3905310866</c:v>
                </c:pt>
                <c:pt idx="56">
                  <c:v>108877.4851912834</c:v>
                </c:pt>
                <c:pt idx="57">
                  <c:v>112293.5798514802</c:v>
                </c:pt>
                <c:pt idx="58">
                  <c:v>115709.674511677</c:v>
                </c:pt>
                <c:pt idx="59">
                  <c:v>119125.7691718738</c:v>
                </c:pt>
                <c:pt idx="60">
                  <c:v>122541.8638320706</c:v>
                </c:pt>
                <c:pt idx="61">
                  <c:v>125957.9584922674</c:v>
                </c:pt>
                <c:pt idx="62">
                  <c:v>129374.0531524642</c:v>
                </c:pt>
                <c:pt idx="63">
                  <c:v>132790.1478126611</c:v>
                </c:pt>
                <c:pt idx="64">
                  <c:v>136206.2424728579</c:v>
                </c:pt>
                <c:pt idx="65">
                  <c:v>139622.3371330547</c:v>
                </c:pt>
                <c:pt idx="66">
                  <c:v>143038.4317932515</c:v>
                </c:pt>
                <c:pt idx="67">
                  <c:v>146454.5264534483</c:v>
                </c:pt>
                <c:pt idx="68">
                  <c:v>149870.6211136451</c:v>
                </c:pt>
                <c:pt idx="69">
                  <c:v>153286.715773842</c:v>
                </c:pt>
                <c:pt idx="70">
                  <c:v>161860.9323276076</c:v>
                </c:pt>
                <c:pt idx="71">
                  <c:v>175593.2707749422</c:v>
                </c:pt>
                <c:pt idx="72">
                  <c:v>189325.6092222767</c:v>
                </c:pt>
                <c:pt idx="73">
                  <c:v>203057.9476696113</c:v>
                </c:pt>
                <c:pt idx="74">
                  <c:v>216790.2861169458</c:v>
                </c:pt>
                <c:pt idx="75">
                  <c:v>230522.6245642804</c:v>
                </c:pt>
                <c:pt idx="76">
                  <c:v>244254.963011615</c:v>
                </c:pt>
                <c:pt idx="77">
                  <c:v>257987.3014589495</c:v>
                </c:pt>
                <c:pt idx="78">
                  <c:v>271719.6399062841</c:v>
                </c:pt>
                <c:pt idx="79">
                  <c:v>285451.9783536186</c:v>
                </c:pt>
                <c:pt idx="80">
                  <c:v>299184.3168009532</c:v>
                </c:pt>
                <c:pt idx="81">
                  <c:v>312916.6552482878</c:v>
                </c:pt>
                <c:pt idx="8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4741368"/>
        <c:axId val="-2081306232"/>
      </c:scatterChart>
      <c:catAx>
        <c:axId val="-2104741368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81306232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8130623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04741368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32439678284182"/>
          <c:y val="0.158208720178634"/>
          <c:w val="0.991957104557641"/>
          <c:h val="0.80895428369961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Percentiles!$A$25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Percentiles!$F$25:$DA$25</c:f>
              <c:numCache>
                <c:formatCode>0.00</c:formatCode>
                <c:ptCount val="100"/>
                <c:pt idx="0">
                  <c:v>1471.286595974585</c:v>
                </c:pt>
                <c:pt idx="1">
                  <c:v>1471.286595974585</c:v>
                </c:pt>
                <c:pt idx="2">
                  <c:v>1471.286595974585</c:v>
                </c:pt>
                <c:pt idx="3">
                  <c:v>1471.286595974585</c:v>
                </c:pt>
                <c:pt idx="4">
                  <c:v>1471.286595974585</c:v>
                </c:pt>
                <c:pt idx="5">
                  <c:v>1471.286595974585</c:v>
                </c:pt>
                <c:pt idx="6">
                  <c:v>1471.286595974585</c:v>
                </c:pt>
                <c:pt idx="7">
                  <c:v>1471.286595974585</c:v>
                </c:pt>
                <c:pt idx="8">
                  <c:v>1471.286595974585</c:v>
                </c:pt>
                <c:pt idx="9">
                  <c:v>1471.286595974585</c:v>
                </c:pt>
                <c:pt idx="10">
                  <c:v>1471.286595974585</c:v>
                </c:pt>
                <c:pt idx="11">
                  <c:v>1471.286595974585</c:v>
                </c:pt>
                <c:pt idx="12">
                  <c:v>1471.286595974585</c:v>
                </c:pt>
                <c:pt idx="13">
                  <c:v>1471.286595974585</c:v>
                </c:pt>
                <c:pt idx="14">
                  <c:v>1471.286595974585</c:v>
                </c:pt>
                <c:pt idx="15">
                  <c:v>1471.286595974585</c:v>
                </c:pt>
                <c:pt idx="16">
                  <c:v>1471.286595974585</c:v>
                </c:pt>
                <c:pt idx="17">
                  <c:v>1471.286595974585</c:v>
                </c:pt>
                <c:pt idx="18">
                  <c:v>1471.286595974585</c:v>
                </c:pt>
                <c:pt idx="19">
                  <c:v>1471.286595974585</c:v>
                </c:pt>
                <c:pt idx="20">
                  <c:v>1471.286595974585</c:v>
                </c:pt>
                <c:pt idx="21">
                  <c:v>1471.286595974585</c:v>
                </c:pt>
                <c:pt idx="22">
                  <c:v>1471.286595974585</c:v>
                </c:pt>
                <c:pt idx="23">
                  <c:v>1471.286595974585</c:v>
                </c:pt>
                <c:pt idx="24">
                  <c:v>1471.286595974585</c:v>
                </c:pt>
                <c:pt idx="25">
                  <c:v>1471.286595974585</c:v>
                </c:pt>
                <c:pt idx="26">
                  <c:v>1539.849652256265</c:v>
                </c:pt>
                <c:pt idx="27">
                  <c:v>1608.412708537946</c:v>
                </c:pt>
                <c:pt idx="28">
                  <c:v>1676.975764819626</c:v>
                </c:pt>
                <c:pt idx="29">
                  <c:v>1745.538821101306</c:v>
                </c:pt>
                <c:pt idx="30">
                  <c:v>1814.101877382987</c:v>
                </c:pt>
                <c:pt idx="31">
                  <c:v>1882.664933664667</c:v>
                </c:pt>
                <c:pt idx="32">
                  <c:v>1951.227989946348</c:v>
                </c:pt>
                <c:pt idx="33">
                  <c:v>2019.791046228028</c:v>
                </c:pt>
                <c:pt idx="34">
                  <c:v>2088.354102509708</c:v>
                </c:pt>
                <c:pt idx="35">
                  <c:v>2156.917158791388</c:v>
                </c:pt>
                <c:pt idx="36">
                  <c:v>2225.48021507307</c:v>
                </c:pt>
                <c:pt idx="37">
                  <c:v>2294.04327135475</c:v>
                </c:pt>
                <c:pt idx="38">
                  <c:v>2362.60632763643</c:v>
                </c:pt>
                <c:pt idx="39">
                  <c:v>2431.169383918111</c:v>
                </c:pt>
                <c:pt idx="40">
                  <c:v>2499.732440199791</c:v>
                </c:pt>
                <c:pt idx="41">
                  <c:v>2568.295496481472</c:v>
                </c:pt>
                <c:pt idx="42">
                  <c:v>2636.858552763152</c:v>
                </c:pt>
                <c:pt idx="43">
                  <c:v>2705.421609044833</c:v>
                </c:pt>
                <c:pt idx="44">
                  <c:v>2773.984665326513</c:v>
                </c:pt>
                <c:pt idx="45">
                  <c:v>2842.547721608194</c:v>
                </c:pt>
                <c:pt idx="46">
                  <c:v>2911.110777889874</c:v>
                </c:pt>
                <c:pt idx="47">
                  <c:v>2979.673834171554</c:v>
                </c:pt>
                <c:pt idx="48">
                  <c:v>3048.236890453235</c:v>
                </c:pt>
                <c:pt idx="49">
                  <c:v>3116.799946734915</c:v>
                </c:pt>
                <c:pt idx="50">
                  <c:v>3185.363003016595</c:v>
                </c:pt>
                <c:pt idx="51">
                  <c:v>3253.926059298276</c:v>
                </c:pt>
                <c:pt idx="52">
                  <c:v>3322.489115579956</c:v>
                </c:pt>
                <c:pt idx="53">
                  <c:v>3391.052171861636</c:v>
                </c:pt>
                <c:pt idx="54">
                  <c:v>3459.615228143317</c:v>
                </c:pt>
                <c:pt idx="55">
                  <c:v>3528.178284424997</c:v>
                </c:pt>
                <c:pt idx="56">
                  <c:v>3596.741340706678</c:v>
                </c:pt>
                <c:pt idx="57">
                  <c:v>3665.304396988358</c:v>
                </c:pt>
                <c:pt idx="58">
                  <c:v>3733.867453270038</c:v>
                </c:pt>
                <c:pt idx="59">
                  <c:v>3802.43050955172</c:v>
                </c:pt>
                <c:pt idx="60">
                  <c:v>3870.9935658334</c:v>
                </c:pt>
                <c:pt idx="61">
                  <c:v>3939.55662211508</c:v>
                </c:pt>
                <c:pt idx="62">
                  <c:v>4008.119678396761</c:v>
                </c:pt>
                <c:pt idx="63">
                  <c:v>4034.500708130903</c:v>
                </c:pt>
                <c:pt idx="64">
                  <c:v>4018.699711317507</c:v>
                </c:pt>
                <c:pt idx="65">
                  <c:v>4002.89871450411</c:v>
                </c:pt>
                <c:pt idx="66">
                  <c:v>3987.097717690714</c:v>
                </c:pt>
                <c:pt idx="67">
                  <c:v>3971.296720877318</c:v>
                </c:pt>
                <c:pt idx="68">
                  <c:v>3955.495724063922</c:v>
                </c:pt>
                <c:pt idx="69">
                  <c:v>3939.694727250525</c:v>
                </c:pt>
                <c:pt idx="70">
                  <c:v>3923.89373043713</c:v>
                </c:pt>
                <c:pt idx="71">
                  <c:v>3908.092733623733</c:v>
                </c:pt>
                <c:pt idx="72">
                  <c:v>3892.291736810336</c:v>
                </c:pt>
                <c:pt idx="73">
                  <c:v>3876.490739996941</c:v>
                </c:pt>
                <c:pt idx="74">
                  <c:v>3860.689743183544</c:v>
                </c:pt>
                <c:pt idx="75">
                  <c:v>3844.888746370148</c:v>
                </c:pt>
                <c:pt idx="76">
                  <c:v>3829.087749556752</c:v>
                </c:pt>
                <c:pt idx="77">
                  <c:v>3813.286752743355</c:v>
                </c:pt>
                <c:pt idx="78">
                  <c:v>3797.485755929959</c:v>
                </c:pt>
                <c:pt idx="79">
                  <c:v>3781.684759116563</c:v>
                </c:pt>
                <c:pt idx="80">
                  <c:v>3765.883762303167</c:v>
                </c:pt>
                <c:pt idx="81">
                  <c:v>3750.082765489771</c:v>
                </c:pt>
                <c:pt idx="82">
                  <c:v>3734.281768676375</c:v>
                </c:pt>
                <c:pt idx="83">
                  <c:v>3681.719740489678</c:v>
                </c:pt>
                <c:pt idx="84">
                  <c:v>3592.396680929682</c:v>
                </c:pt>
                <c:pt idx="85">
                  <c:v>3503.073621369685</c:v>
                </c:pt>
                <c:pt idx="86">
                  <c:v>3413.750561809689</c:v>
                </c:pt>
                <c:pt idx="87">
                  <c:v>3324.427502249693</c:v>
                </c:pt>
                <c:pt idx="88">
                  <c:v>3235.104442689696</c:v>
                </c:pt>
                <c:pt idx="89">
                  <c:v>3145.7813831297</c:v>
                </c:pt>
                <c:pt idx="90">
                  <c:v>3056.458323569704</c:v>
                </c:pt>
                <c:pt idx="91">
                  <c:v>2967.135264009707</c:v>
                </c:pt>
                <c:pt idx="92">
                  <c:v>2877.812204449711</c:v>
                </c:pt>
                <c:pt idx="93">
                  <c:v>2788.489144889715</c:v>
                </c:pt>
                <c:pt idx="94">
                  <c:v>2699.166085329719</c:v>
                </c:pt>
                <c:pt idx="95">
                  <c:v>2609.843025769722</c:v>
                </c:pt>
                <c:pt idx="96">
                  <c:v>2609.843025769722</c:v>
                </c:pt>
                <c:pt idx="97">
                  <c:v>2609.843025769722</c:v>
                </c:pt>
                <c:pt idx="98">
                  <c:v>2609.843025769722</c:v>
                </c:pt>
                <c:pt idx="99">
                  <c:v>2609.843025769722</c:v>
                </c:pt>
              </c:numCache>
            </c:numRef>
          </c:val>
        </c:ser>
        <c:ser>
          <c:idx val="1"/>
          <c:order val="1"/>
          <c:tx>
            <c:strRef>
              <c:f>Percentiles!$A$26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Percentiles!$F$26:$DA$26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66.17084934116946</c:v>
                </c:pt>
                <c:pt idx="27">
                  <c:v>132.341698682339</c:v>
                </c:pt>
                <c:pt idx="28">
                  <c:v>198.5125480235083</c:v>
                </c:pt>
                <c:pt idx="29">
                  <c:v>264.6833973646778</c:v>
                </c:pt>
                <c:pt idx="30">
                  <c:v>330.8542467058472</c:v>
                </c:pt>
                <c:pt idx="31">
                  <c:v>397.0250960470167</c:v>
                </c:pt>
                <c:pt idx="32">
                  <c:v>463.1959453881862</c:v>
                </c:pt>
                <c:pt idx="33">
                  <c:v>529.3667947293557</c:v>
                </c:pt>
                <c:pt idx="34">
                  <c:v>595.5376440705251</c:v>
                </c:pt>
                <c:pt idx="35">
                  <c:v>661.7084934116944</c:v>
                </c:pt>
                <c:pt idx="36">
                  <c:v>727.879342752864</c:v>
                </c:pt>
                <c:pt idx="37">
                  <c:v>794.0501920940334</c:v>
                </c:pt>
                <c:pt idx="38">
                  <c:v>860.2210414352029</c:v>
                </c:pt>
                <c:pt idx="39">
                  <c:v>926.3918907763724</c:v>
                </c:pt>
                <c:pt idx="40">
                  <c:v>992.5627401175418</c:v>
                </c:pt>
                <c:pt idx="41">
                  <c:v>1058.733589458711</c:v>
                </c:pt>
                <c:pt idx="42">
                  <c:v>1124.904438799881</c:v>
                </c:pt>
                <c:pt idx="43">
                  <c:v>1191.07528814105</c:v>
                </c:pt>
                <c:pt idx="44">
                  <c:v>1257.24613748222</c:v>
                </c:pt>
                <c:pt idx="45">
                  <c:v>1323.416986823389</c:v>
                </c:pt>
                <c:pt idx="46">
                  <c:v>1389.587836164558</c:v>
                </c:pt>
                <c:pt idx="47">
                  <c:v>1455.758685505728</c:v>
                </c:pt>
                <c:pt idx="48">
                  <c:v>1521.929534846897</c:v>
                </c:pt>
                <c:pt idx="49">
                  <c:v>1588.100384188067</c:v>
                </c:pt>
                <c:pt idx="50">
                  <c:v>1654.271233529236</c:v>
                </c:pt>
                <c:pt idx="51">
                  <c:v>1720.442082870406</c:v>
                </c:pt>
                <c:pt idx="52">
                  <c:v>1786.612932211575</c:v>
                </c:pt>
                <c:pt idx="53">
                  <c:v>1852.783781552745</c:v>
                </c:pt>
                <c:pt idx="54">
                  <c:v>1918.954630893914</c:v>
                </c:pt>
                <c:pt idx="55">
                  <c:v>1985.125480235084</c:v>
                </c:pt>
                <c:pt idx="56">
                  <c:v>2051.296329576253</c:v>
                </c:pt>
                <c:pt idx="57">
                  <c:v>2117.467178917423</c:v>
                </c:pt>
                <c:pt idx="58">
                  <c:v>2183.638028258592</c:v>
                </c:pt>
                <c:pt idx="59">
                  <c:v>2249.808877599761</c:v>
                </c:pt>
                <c:pt idx="60">
                  <c:v>2315.979726940931</c:v>
                </c:pt>
                <c:pt idx="61">
                  <c:v>2382.1505762821</c:v>
                </c:pt>
                <c:pt idx="62">
                  <c:v>2448.32142562327</c:v>
                </c:pt>
                <c:pt idx="63">
                  <c:v>3365.381347435973</c:v>
                </c:pt>
                <c:pt idx="64">
                  <c:v>5133.330341720209</c:v>
                </c:pt>
                <c:pt idx="65">
                  <c:v>6901.279336004445</c:v>
                </c:pt>
                <c:pt idx="66">
                  <c:v>8669.228330288683</c:v>
                </c:pt>
                <c:pt idx="67">
                  <c:v>10437.17732457292</c:v>
                </c:pt>
                <c:pt idx="68">
                  <c:v>12205.12631885715</c:v>
                </c:pt>
                <c:pt idx="69">
                  <c:v>13973.07531314139</c:v>
                </c:pt>
                <c:pt idx="70">
                  <c:v>15741.02430742563</c:v>
                </c:pt>
                <c:pt idx="71">
                  <c:v>17508.97330170986</c:v>
                </c:pt>
                <c:pt idx="72">
                  <c:v>19276.9222959941</c:v>
                </c:pt>
                <c:pt idx="73">
                  <c:v>21044.87129027833</c:v>
                </c:pt>
                <c:pt idx="74">
                  <c:v>22812.82028456257</c:v>
                </c:pt>
                <c:pt idx="75">
                  <c:v>24580.76927884681</c:v>
                </c:pt>
                <c:pt idx="76">
                  <c:v>26348.71827313105</c:v>
                </c:pt>
                <c:pt idx="77">
                  <c:v>28116.66726741528</c:v>
                </c:pt>
                <c:pt idx="78">
                  <c:v>29884.61626169951</c:v>
                </c:pt>
                <c:pt idx="79">
                  <c:v>31652.56525598375</c:v>
                </c:pt>
                <c:pt idx="80">
                  <c:v>33420.51425026798</c:v>
                </c:pt>
                <c:pt idx="81">
                  <c:v>35188.46324455223</c:v>
                </c:pt>
                <c:pt idx="82">
                  <c:v>36956.41223883646</c:v>
                </c:pt>
                <c:pt idx="83">
                  <c:v>36926.61400201288</c:v>
                </c:pt>
                <c:pt idx="84">
                  <c:v>35099.06853408148</c:v>
                </c:pt>
                <c:pt idx="85">
                  <c:v>33271.52306615008</c:v>
                </c:pt>
                <c:pt idx="86">
                  <c:v>31443.9775982187</c:v>
                </c:pt>
                <c:pt idx="87">
                  <c:v>29616.4321302873</c:v>
                </c:pt>
                <c:pt idx="88">
                  <c:v>27788.88666235589</c:v>
                </c:pt>
                <c:pt idx="89">
                  <c:v>25961.3411944245</c:v>
                </c:pt>
                <c:pt idx="90">
                  <c:v>24133.7957264931</c:v>
                </c:pt>
                <c:pt idx="91">
                  <c:v>22306.2502585617</c:v>
                </c:pt>
                <c:pt idx="92">
                  <c:v>20478.70479063031</c:v>
                </c:pt>
                <c:pt idx="93">
                  <c:v>18651.15932269891</c:v>
                </c:pt>
                <c:pt idx="94">
                  <c:v>16823.61385476751</c:v>
                </c:pt>
                <c:pt idx="95">
                  <c:v>14996.06838683612</c:v>
                </c:pt>
                <c:pt idx="96">
                  <c:v>14996.06838683611</c:v>
                </c:pt>
                <c:pt idx="97">
                  <c:v>14996.06838683611</c:v>
                </c:pt>
                <c:pt idx="98">
                  <c:v>14996.06838683611</c:v>
                </c:pt>
                <c:pt idx="99">
                  <c:v>14996.06838683611</c:v>
                </c:pt>
              </c:numCache>
            </c:numRef>
          </c:val>
        </c:ser>
        <c:ser>
          <c:idx val="2"/>
          <c:order val="2"/>
          <c:tx>
            <c:strRef>
              <c:f>Percentiles!$A$27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Percentiles!$F$27:$DA$27</c:f>
              <c:numCache>
                <c:formatCode>0.00</c:formatCode>
                <c:ptCount val="100"/>
                <c:pt idx="0">
                  <c:v>178.1605394978578</c:v>
                </c:pt>
                <c:pt idx="1">
                  <c:v>178.1605394978578</c:v>
                </c:pt>
                <c:pt idx="2">
                  <c:v>178.1605394978578</c:v>
                </c:pt>
                <c:pt idx="3">
                  <c:v>178.1605394978578</c:v>
                </c:pt>
                <c:pt idx="4">
                  <c:v>178.1605394978578</c:v>
                </c:pt>
                <c:pt idx="5">
                  <c:v>178.1605394978578</c:v>
                </c:pt>
                <c:pt idx="6">
                  <c:v>178.1605394978578</c:v>
                </c:pt>
                <c:pt idx="7">
                  <c:v>178.1605394978578</c:v>
                </c:pt>
                <c:pt idx="8">
                  <c:v>178.1605394978578</c:v>
                </c:pt>
                <c:pt idx="9">
                  <c:v>178.1605394978578</c:v>
                </c:pt>
                <c:pt idx="10">
                  <c:v>178.1605394978578</c:v>
                </c:pt>
                <c:pt idx="11">
                  <c:v>178.1605394978578</c:v>
                </c:pt>
                <c:pt idx="12">
                  <c:v>178.1605394978578</c:v>
                </c:pt>
                <c:pt idx="13">
                  <c:v>178.1605394978578</c:v>
                </c:pt>
                <c:pt idx="14">
                  <c:v>178.1605394978578</c:v>
                </c:pt>
                <c:pt idx="15">
                  <c:v>178.1605394978578</c:v>
                </c:pt>
                <c:pt idx="16">
                  <c:v>178.1605394978578</c:v>
                </c:pt>
                <c:pt idx="17">
                  <c:v>178.1605394978578</c:v>
                </c:pt>
                <c:pt idx="18">
                  <c:v>178.1605394978578</c:v>
                </c:pt>
                <c:pt idx="19">
                  <c:v>178.1605394978578</c:v>
                </c:pt>
                <c:pt idx="20">
                  <c:v>178.1605394978578</c:v>
                </c:pt>
                <c:pt idx="21">
                  <c:v>178.1605394978578</c:v>
                </c:pt>
                <c:pt idx="22">
                  <c:v>178.1605394978578</c:v>
                </c:pt>
                <c:pt idx="23">
                  <c:v>178.1605394978578</c:v>
                </c:pt>
                <c:pt idx="24">
                  <c:v>178.1605394978578</c:v>
                </c:pt>
                <c:pt idx="25">
                  <c:v>178.1605394978578</c:v>
                </c:pt>
                <c:pt idx="26">
                  <c:v>196.1482668101061</c:v>
                </c:pt>
                <c:pt idx="27">
                  <c:v>214.1359941223543</c:v>
                </c:pt>
                <c:pt idx="28">
                  <c:v>232.1237214346025</c:v>
                </c:pt>
                <c:pt idx="29">
                  <c:v>250.1114487468508</c:v>
                </c:pt>
                <c:pt idx="30">
                  <c:v>268.099176059099</c:v>
                </c:pt>
                <c:pt idx="31">
                  <c:v>286.0869033713473</c:v>
                </c:pt>
                <c:pt idx="32">
                  <c:v>304.0746306835955</c:v>
                </c:pt>
                <c:pt idx="33">
                  <c:v>322.0623579958437</c:v>
                </c:pt>
                <c:pt idx="34">
                  <c:v>340.050085308092</c:v>
                </c:pt>
                <c:pt idx="35">
                  <c:v>358.0378126203402</c:v>
                </c:pt>
                <c:pt idx="36">
                  <c:v>376.0255399325885</c:v>
                </c:pt>
                <c:pt idx="37">
                  <c:v>394.0132672448368</c:v>
                </c:pt>
                <c:pt idx="38">
                  <c:v>412.0009945570849</c:v>
                </c:pt>
                <c:pt idx="39">
                  <c:v>429.9887218693332</c:v>
                </c:pt>
                <c:pt idx="40">
                  <c:v>447.9764491815815</c:v>
                </c:pt>
                <c:pt idx="41">
                  <c:v>465.9641764938297</c:v>
                </c:pt>
                <c:pt idx="42">
                  <c:v>483.951903806078</c:v>
                </c:pt>
                <c:pt idx="43">
                  <c:v>501.9396311183262</c:v>
                </c:pt>
                <c:pt idx="44">
                  <c:v>519.9273584305745</c:v>
                </c:pt>
                <c:pt idx="45">
                  <c:v>537.9150857428227</c:v>
                </c:pt>
                <c:pt idx="46">
                  <c:v>555.902813055071</c:v>
                </c:pt>
                <c:pt idx="47">
                  <c:v>573.8905403673192</c:v>
                </c:pt>
                <c:pt idx="48">
                  <c:v>591.8782676795674</c:v>
                </c:pt>
                <c:pt idx="49">
                  <c:v>609.8659949918157</c:v>
                </c:pt>
                <c:pt idx="50">
                  <c:v>627.8537223040639</c:v>
                </c:pt>
                <c:pt idx="51">
                  <c:v>645.841449616312</c:v>
                </c:pt>
                <c:pt idx="52">
                  <c:v>663.8291769285604</c:v>
                </c:pt>
                <c:pt idx="53">
                  <c:v>681.8169042408086</c:v>
                </c:pt>
                <c:pt idx="54">
                  <c:v>699.8046315530568</c:v>
                </c:pt>
                <c:pt idx="55">
                  <c:v>717.7923588653052</c:v>
                </c:pt>
                <c:pt idx="56">
                  <c:v>735.7800861775533</c:v>
                </c:pt>
                <c:pt idx="57">
                  <c:v>753.7678134898016</c:v>
                </c:pt>
                <c:pt idx="58">
                  <c:v>771.7555408020498</c:v>
                </c:pt>
                <c:pt idx="59">
                  <c:v>789.7432681142981</c:v>
                </c:pt>
                <c:pt idx="60">
                  <c:v>807.7309954265464</c:v>
                </c:pt>
                <c:pt idx="61">
                  <c:v>825.7187227387945</c:v>
                </c:pt>
                <c:pt idx="62">
                  <c:v>843.7064500510427</c:v>
                </c:pt>
                <c:pt idx="63">
                  <c:v>893.2821031728622</c:v>
                </c:pt>
                <c:pt idx="64">
                  <c:v>974.4456821042529</c:v>
                </c:pt>
                <c:pt idx="65">
                  <c:v>1055.609261035643</c:v>
                </c:pt>
                <c:pt idx="66">
                  <c:v>1136.772839967034</c:v>
                </c:pt>
                <c:pt idx="67">
                  <c:v>1217.936418898425</c:v>
                </c:pt>
                <c:pt idx="68">
                  <c:v>1299.099997829815</c:v>
                </c:pt>
                <c:pt idx="69">
                  <c:v>1380.263576761206</c:v>
                </c:pt>
                <c:pt idx="70">
                  <c:v>1461.427155692596</c:v>
                </c:pt>
                <c:pt idx="71">
                  <c:v>1542.590734623987</c:v>
                </c:pt>
                <c:pt idx="72">
                  <c:v>1623.754313555378</c:v>
                </c:pt>
                <c:pt idx="73">
                  <c:v>1704.917892486768</c:v>
                </c:pt>
                <c:pt idx="74">
                  <c:v>1786.081471418159</c:v>
                </c:pt>
                <c:pt idx="75">
                  <c:v>1867.24505034955</c:v>
                </c:pt>
                <c:pt idx="76">
                  <c:v>1948.40862928094</c:v>
                </c:pt>
                <c:pt idx="77">
                  <c:v>2029.572208212331</c:v>
                </c:pt>
                <c:pt idx="78">
                  <c:v>2110.735787143721</c:v>
                </c:pt>
                <c:pt idx="79">
                  <c:v>2191.899366075111</c:v>
                </c:pt>
                <c:pt idx="80">
                  <c:v>2273.062945006502</c:v>
                </c:pt>
                <c:pt idx="81">
                  <c:v>2354.226523937893</c:v>
                </c:pt>
                <c:pt idx="82">
                  <c:v>2435.390102869283</c:v>
                </c:pt>
                <c:pt idx="83">
                  <c:v>2498.444348356097</c:v>
                </c:pt>
                <c:pt idx="84">
                  <c:v>2543.389260398334</c:v>
                </c:pt>
                <c:pt idx="85">
                  <c:v>2588.334172440571</c:v>
                </c:pt>
                <c:pt idx="86">
                  <c:v>2633.279084482809</c:v>
                </c:pt>
                <c:pt idx="87">
                  <c:v>2678.223996525046</c:v>
                </c:pt>
                <c:pt idx="88">
                  <c:v>2723.168908567283</c:v>
                </c:pt>
                <c:pt idx="89">
                  <c:v>2768.113820609521</c:v>
                </c:pt>
                <c:pt idx="90">
                  <c:v>2813.058732651758</c:v>
                </c:pt>
                <c:pt idx="91">
                  <c:v>2858.003644693995</c:v>
                </c:pt>
                <c:pt idx="92">
                  <c:v>2902.948556736232</c:v>
                </c:pt>
                <c:pt idx="93">
                  <c:v>2947.89346877847</c:v>
                </c:pt>
                <c:pt idx="94">
                  <c:v>2992.838380820706</c:v>
                </c:pt>
                <c:pt idx="95">
                  <c:v>3037.783292862944</c:v>
                </c:pt>
                <c:pt idx="96">
                  <c:v>3037.783292862944</c:v>
                </c:pt>
                <c:pt idx="97">
                  <c:v>3037.783292862944</c:v>
                </c:pt>
                <c:pt idx="98">
                  <c:v>3037.783292862944</c:v>
                </c:pt>
                <c:pt idx="99">
                  <c:v>3037.783292862944</c:v>
                </c:pt>
              </c:numCache>
            </c:numRef>
          </c:val>
        </c:ser>
        <c:ser>
          <c:idx val="3"/>
          <c:order val="3"/>
          <c:tx>
            <c:strRef>
              <c:f>Percentiles!$A$28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Percentiles!$F$28:$DA$28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Percentiles!$A$29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Percentiles!$F$29:$DA$29</c:f>
              <c:numCache>
                <c:formatCode>0.00</c:formatCode>
                <c:ptCount val="100"/>
                <c:pt idx="0">
                  <c:v>1921.915804874758</c:v>
                </c:pt>
                <c:pt idx="1">
                  <c:v>1921.915804874758</c:v>
                </c:pt>
                <c:pt idx="2">
                  <c:v>1921.915804874758</c:v>
                </c:pt>
                <c:pt idx="3">
                  <c:v>1921.915804874758</c:v>
                </c:pt>
                <c:pt idx="4">
                  <c:v>1921.915804874758</c:v>
                </c:pt>
                <c:pt idx="5">
                  <c:v>1921.915804874758</c:v>
                </c:pt>
                <c:pt idx="6">
                  <c:v>1921.915804874758</c:v>
                </c:pt>
                <c:pt idx="7">
                  <c:v>1921.915804874758</c:v>
                </c:pt>
                <c:pt idx="8">
                  <c:v>1921.915804874758</c:v>
                </c:pt>
                <c:pt idx="9">
                  <c:v>1921.915804874758</c:v>
                </c:pt>
                <c:pt idx="10">
                  <c:v>1921.915804874758</c:v>
                </c:pt>
                <c:pt idx="11">
                  <c:v>1921.915804874758</c:v>
                </c:pt>
                <c:pt idx="12">
                  <c:v>1921.915804874758</c:v>
                </c:pt>
                <c:pt idx="13">
                  <c:v>1921.915804874758</c:v>
                </c:pt>
                <c:pt idx="14">
                  <c:v>1921.915804874758</c:v>
                </c:pt>
                <c:pt idx="15">
                  <c:v>1921.915804874758</c:v>
                </c:pt>
                <c:pt idx="16">
                  <c:v>1921.915804874758</c:v>
                </c:pt>
                <c:pt idx="17">
                  <c:v>1921.915804874758</c:v>
                </c:pt>
                <c:pt idx="18">
                  <c:v>1921.915804874758</c:v>
                </c:pt>
                <c:pt idx="19">
                  <c:v>1921.915804874758</c:v>
                </c:pt>
                <c:pt idx="20">
                  <c:v>1921.915804874758</c:v>
                </c:pt>
                <c:pt idx="21">
                  <c:v>1921.915804874758</c:v>
                </c:pt>
                <c:pt idx="22">
                  <c:v>1921.915804874758</c:v>
                </c:pt>
                <c:pt idx="23">
                  <c:v>1921.915804874758</c:v>
                </c:pt>
                <c:pt idx="24">
                  <c:v>1921.915804874758</c:v>
                </c:pt>
                <c:pt idx="25">
                  <c:v>1921.915804874758</c:v>
                </c:pt>
                <c:pt idx="26">
                  <c:v>2259.31880173055</c:v>
                </c:pt>
                <c:pt idx="27">
                  <c:v>2596.72179858634</c:v>
                </c:pt>
                <c:pt idx="28">
                  <c:v>2934.124795442131</c:v>
                </c:pt>
                <c:pt idx="29">
                  <c:v>3271.527792297922</c:v>
                </c:pt>
                <c:pt idx="30">
                  <c:v>3608.930789153713</c:v>
                </c:pt>
                <c:pt idx="31">
                  <c:v>3946.333786009503</c:v>
                </c:pt>
                <c:pt idx="32">
                  <c:v>4283.736782865295</c:v>
                </c:pt>
                <c:pt idx="33">
                  <c:v>4621.139779721086</c:v>
                </c:pt>
                <c:pt idx="34">
                  <c:v>4958.542776576877</c:v>
                </c:pt>
                <c:pt idx="35">
                  <c:v>5295.945773432668</c:v>
                </c:pt>
                <c:pt idx="36">
                  <c:v>5633.348770288459</c:v>
                </c:pt>
                <c:pt idx="37">
                  <c:v>5970.751767144249</c:v>
                </c:pt>
                <c:pt idx="38">
                  <c:v>6308.15476400004</c:v>
                </c:pt>
                <c:pt idx="39">
                  <c:v>6645.557760855831</c:v>
                </c:pt>
                <c:pt idx="40">
                  <c:v>6982.960757711622</c:v>
                </c:pt>
                <c:pt idx="41">
                  <c:v>7320.363754567413</c:v>
                </c:pt>
                <c:pt idx="42">
                  <c:v>7657.766751423204</c:v>
                </c:pt>
                <c:pt idx="43">
                  <c:v>7995.169748278996</c:v>
                </c:pt>
                <c:pt idx="44">
                  <c:v>8332.572745134786</c:v>
                </c:pt>
                <c:pt idx="45">
                  <c:v>8669.975741990578</c:v>
                </c:pt>
                <c:pt idx="46">
                  <c:v>9007.378738846367</c:v>
                </c:pt>
                <c:pt idx="47">
                  <c:v>9344.78173570216</c:v>
                </c:pt>
                <c:pt idx="48">
                  <c:v>9682.18473255795</c:v>
                </c:pt>
                <c:pt idx="49">
                  <c:v>10019.58772941374</c:v>
                </c:pt>
                <c:pt idx="50">
                  <c:v>10356.99072626953</c:v>
                </c:pt>
                <c:pt idx="51">
                  <c:v>10694.39372312532</c:v>
                </c:pt>
                <c:pt idx="52">
                  <c:v>11031.79671998111</c:v>
                </c:pt>
                <c:pt idx="53">
                  <c:v>11369.1997168369</c:v>
                </c:pt>
                <c:pt idx="54">
                  <c:v>11706.6027136927</c:v>
                </c:pt>
                <c:pt idx="55">
                  <c:v>12044.00571054848</c:v>
                </c:pt>
                <c:pt idx="56">
                  <c:v>12381.40870740428</c:v>
                </c:pt>
                <c:pt idx="57">
                  <c:v>12718.81170426007</c:v>
                </c:pt>
                <c:pt idx="58">
                  <c:v>13056.21470111586</c:v>
                </c:pt>
                <c:pt idx="59">
                  <c:v>13393.61769797165</c:v>
                </c:pt>
                <c:pt idx="60">
                  <c:v>13731.02069482744</c:v>
                </c:pt>
                <c:pt idx="61">
                  <c:v>14068.42369168323</c:v>
                </c:pt>
                <c:pt idx="62">
                  <c:v>14405.82668853902</c:v>
                </c:pt>
                <c:pt idx="63">
                  <c:v>15273.62506099011</c:v>
                </c:pt>
                <c:pt idx="64">
                  <c:v>16671.8188090365</c:v>
                </c:pt>
                <c:pt idx="65">
                  <c:v>18070.01255708288</c:v>
                </c:pt>
                <c:pt idx="66">
                  <c:v>19468.20630512927</c:v>
                </c:pt>
                <c:pt idx="67">
                  <c:v>20866.40005317566</c:v>
                </c:pt>
                <c:pt idx="68">
                  <c:v>22264.59380122204</c:v>
                </c:pt>
                <c:pt idx="69">
                  <c:v>23662.78754926843</c:v>
                </c:pt>
                <c:pt idx="70">
                  <c:v>25060.98129731481</c:v>
                </c:pt>
                <c:pt idx="71">
                  <c:v>26459.1750453612</c:v>
                </c:pt>
                <c:pt idx="72">
                  <c:v>27857.36879340759</c:v>
                </c:pt>
                <c:pt idx="73">
                  <c:v>29255.56254145398</c:v>
                </c:pt>
                <c:pt idx="74">
                  <c:v>30653.75628950036</c:v>
                </c:pt>
                <c:pt idx="75">
                  <c:v>32051.95003754675</c:v>
                </c:pt>
                <c:pt idx="76">
                  <c:v>33450.14378559314</c:v>
                </c:pt>
                <c:pt idx="77">
                  <c:v>34848.33753363952</c:v>
                </c:pt>
                <c:pt idx="78">
                  <c:v>36246.53128168591</c:v>
                </c:pt>
                <c:pt idx="79">
                  <c:v>37644.7250297323</c:v>
                </c:pt>
                <c:pt idx="80">
                  <c:v>39042.91877777867</c:v>
                </c:pt>
                <c:pt idx="81">
                  <c:v>40441.11252582507</c:v>
                </c:pt>
                <c:pt idx="82">
                  <c:v>41839.30627387145</c:v>
                </c:pt>
                <c:pt idx="83">
                  <c:v>42795.0856809457</c:v>
                </c:pt>
                <c:pt idx="84">
                  <c:v>43308.4507470478</c:v>
                </c:pt>
                <c:pt idx="85">
                  <c:v>43821.8158131499</c:v>
                </c:pt>
                <c:pt idx="86">
                  <c:v>44335.180879252</c:v>
                </c:pt>
                <c:pt idx="87">
                  <c:v>44848.54594535411</c:v>
                </c:pt>
                <c:pt idx="88">
                  <c:v>45361.91101145621</c:v>
                </c:pt>
                <c:pt idx="89">
                  <c:v>45875.27607755832</c:v>
                </c:pt>
                <c:pt idx="90">
                  <c:v>46388.64114366042</c:v>
                </c:pt>
                <c:pt idx="91">
                  <c:v>46902.00620976252</c:v>
                </c:pt>
                <c:pt idx="92">
                  <c:v>47415.37127586462</c:v>
                </c:pt>
                <c:pt idx="93">
                  <c:v>47928.73634196672</c:v>
                </c:pt>
                <c:pt idx="94">
                  <c:v>48442.10140806883</c:v>
                </c:pt>
                <c:pt idx="95">
                  <c:v>48955.46647417092</c:v>
                </c:pt>
                <c:pt idx="96">
                  <c:v>48955.46647417092</c:v>
                </c:pt>
                <c:pt idx="97">
                  <c:v>48955.46647417092</c:v>
                </c:pt>
                <c:pt idx="98">
                  <c:v>48955.46647417092</c:v>
                </c:pt>
                <c:pt idx="99">
                  <c:v>48955.46647417092</c:v>
                </c:pt>
              </c:numCache>
            </c:numRef>
          </c:val>
        </c:ser>
        <c:ser>
          <c:idx val="5"/>
          <c:order val="5"/>
          <c:tx>
            <c:strRef>
              <c:f>Percentiles!$A$30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Percentiles!$F$30:$DA$30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Percentiles!$A$31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val>
            <c:numRef>
              <c:f>Percentiles!$F$31:$DA$31</c:f>
              <c:numCache>
                <c:formatCode>0.00</c:formatCode>
                <c:ptCount val="100"/>
                <c:pt idx="0">
                  <c:v>11104.40242816527</c:v>
                </c:pt>
                <c:pt idx="1">
                  <c:v>11104.40242816527</c:v>
                </c:pt>
                <c:pt idx="2">
                  <c:v>11104.40242816527</c:v>
                </c:pt>
                <c:pt idx="3">
                  <c:v>11104.40242816527</c:v>
                </c:pt>
                <c:pt idx="4">
                  <c:v>11104.40242816527</c:v>
                </c:pt>
                <c:pt idx="5">
                  <c:v>11104.40242816527</c:v>
                </c:pt>
                <c:pt idx="6">
                  <c:v>11104.40242816527</c:v>
                </c:pt>
                <c:pt idx="7">
                  <c:v>11104.40242816527</c:v>
                </c:pt>
                <c:pt idx="8">
                  <c:v>11104.40242816527</c:v>
                </c:pt>
                <c:pt idx="9">
                  <c:v>11104.40242816527</c:v>
                </c:pt>
                <c:pt idx="10">
                  <c:v>11104.40242816527</c:v>
                </c:pt>
                <c:pt idx="11">
                  <c:v>11104.40242816527</c:v>
                </c:pt>
                <c:pt idx="12">
                  <c:v>11104.40242816527</c:v>
                </c:pt>
                <c:pt idx="13">
                  <c:v>11104.40242816527</c:v>
                </c:pt>
                <c:pt idx="14">
                  <c:v>11104.40242816527</c:v>
                </c:pt>
                <c:pt idx="15">
                  <c:v>11104.40242816527</c:v>
                </c:pt>
                <c:pt idx="16">
                  <c:v>11104.40242816527</c:v>
                </c:pt>
                <c:pt idx="17">
                  <c:v>11104.40242816527</c:v>
                </c:pt>
                <c:pt idx="18">
                  <c:v>11104.40242816527</c:v>
                </c:pt>
                <c:pt idx="19">
                  <c:v>11104.40242816527</c:v>
                </c:pt>
                <c:pt idx="20">
                  <c:v>11104.40242816527</c:v>
                </c:pt>
                <c:pt idx="21">
                  <c:v>11104.40242816527</c:v>
                </c:pt>
                <c:pt idx="22">
                  <c:v>11104.40242816527</c:v>
                </c:pt>
                <c:pt idx="23">
                  <c:v>11104.40242816527</c:v>
                </c:pt>
                <c:pt idx="24">
                  <c:v>11104.40242816527</c:v>
                </c:pt>
                <c:pt idx="25">
                  <c:v>11104.40242816527</c:v>
                </c:pt>
                <c:pt idx="26">
                  <c:v>11006.00033895568</c:v>
                </c:pt>
                <c:pt idx="27">
                  <c:v>10907.59824974609</c:v>
                </c:pt>
                <c:pt idx="28">
                  <c:v>10809.19616053651</c:v>
                </c:pt>
                <c:pt idx="29">
                  <c:v>10710.79407132692</c:v>
                </c:pt>
                <c:pt idx="30">
                  <c:v>10612.39198211733</c:v>
                </c:pt>
                <c:pt idx="31">
                  <c:v>10513.98989290774</c:v>
                </c:pt>
                <c:pt idx="32">
                  <c:v>10415.58780369816</c:v>
                </c:pt>
                <c:pt idx="33">
                  <c:v>10317.18571448857</c:v>
                </c:pt>
                <c:pt idx="34">
                  <c:v>10218.78362527898</c:v>
                </c:pt>
                <c:pt idx="35">
                  <c:v>10120.38153606939</c:v>
                </c:pt>
                <c:pt idx="36">
                  <c:v>10021.9794468598</c:v>
                </c:pt>
                <c:pt idx="37">
                  <c:v>9923.577357650218</c:v>
                </c:pt>
                <c:pt idx="38">
                  <c:v>9825.175268440631</c:v>
                </c:pt>
                <c:pt idx="39">
                  <c:v>9726.773179231042</c:v>
                </c:pt>
                <c:pt idx="40">
                  <c:v>9628.371090021456</c:v>
                </c:pt>
                <c:pt idx="41">
                  <c:v>9529.969000811866</c:v>
                </c:pt>
                <c:pt idx="42">
                  <c:v>9431.56691160228</c:v>
                </c:pt>
                <c:pt idx="43">
                  <c:v>9333.164822392693</c:v>
                </c:pt>
                <c:pt idx="44">
                  <c:v>9234.762733183105</c:v>
                </c:pt>
                <c:pt idx="45">
                  <c:v>9136.360643973518</c:v>
                </c:pt>
                <c:pt idx="46">
                  <c:v>9037.958554763929</c:v>
                </c:pt>
                <c:pt idx="47">
                  <c:v>8939.556465554342</c:v>
                </c:pt>
                <c:pt idx="48">
                  <c:v>8841.154376344755</c:v>
                </c:pt>
                <c:pt idx="49">
                  <c:v>8742.752287135166</c:v>
                </c:pt>
                <c:pt idx="50">
                  <c:v>8644.35019792558</c:v>
                </c:pt>
                <c:pt idx="51">
                  <c:v>8545.94810871599</c:v>
                </c:pt>
                <c:pt idx="52">
                  <c:v>8447.546019506404</c:v>
                </c:pt>
                <c:pt idx="53">
                  <c:v>8349.143930296817</c:v>
                </c:pt>
                <c:pt idx="54">
                  <c:v>8250.741841087228</c:v>
                </c:pt>
                <c:pt idx="55">
                  <c:v>8152.339751877642</c:v>
                </c:pt>
                <c:pt idx="56">
                  <c:v>8053.937662668053</c:v>
                </c:pt>
                <c:pt idx="57">
                  <c:v>7955.535573458466</c:v>
                </c:pt>
                <c:pt idx="58">
                  <c:v>7857.133484248878</c:v>
                </c:pt>
                <c:pt idx="59">
                  <c:v>7758.731395039291</c:v>
                </c:pt>
                <c:pt idx="60">
                  <c:v>7660.329305829703</c:v>
                </c:pt>
                <c:pt idx="61">
                  <c:v>7561.927216620115</c:v>
                </c:pt>
                <c:pt idx="62">
                  <c:v>7463.525127410528</c:v>
                </c:pt>
                <c:pt idx="63">
                  <c:v>8048.983390815488</c:v>
                </c:pt>
                <c:pt idx="64">
                  <c:v>9318.302006834994</c:v>
                </c:pt>
                <c:pt idx="65">
                  <c:v>10587.6206228545</c:v>
                </c:pt>
                <c:pt idx="66">
                  <c:v>11856.93923887401</c:v>
                </c:pt>
                <c:pt idx="67">
                  <c:v>13126.25785489351</c:v>
                </c:pt>
                <c:pt idx="68">
                  <c:v>14395.57647091302</c:v>
                </c:pt>
                <c:pt idx="69">
                  <c:v>15664.89508693253</c:v>
                </c:pt>
                <c:pt idx="70">
                  <c:v>16934.21370295203</c:v>
                </c:pt>
                <c:pt idx="71">
                  <c:v>18203.53231897154</c:v>
                </c:pt>
                <c:pt idx="72">
                  <c:v>19472.85093499105</c:v>
                </c:pt>
                <c:pt idx="73">
                  <c:v>20742.16955101056</c:v>
                </c:pt>
                <c:pt idx="74">
                  <c:v>22011.48816703006</c:v>
                </c:pt>
                <c:pt idx="75">
                  <c:v>23280.80678304957</c:v>
                </c:pt>
                <c:pt idx="76">
                  <c:v>24550.12539906907</c:v>
                </c:pt>
                <c:pt idx="77">
                  <c:v>25819.44401508858</c:v>
                </c:pt>
                <c:pt idx="78">
                  <c:v>27088.76263110809</c:v>
                </c:pt>
                <c:pt idx="79">
                  <c:v>28358.0812471276</c:v>
                </c:pt>
                <c:pt idx="80">
                  <c:v>29627.3998631471</c:v>
                </c:pt>
                <c:pt idx="81">
                  <c:v>30896.71847916661</c:v>
                </c:pt>
                <c:pt idx="82">
                  <c:v>32166.03709518612</c:v>
                </c:pt>
                <c:pt idx="83">
                  <c:v>31488.66854706803</c:v>
                </c:pt>
                <c:pt idx="84">
                  <c:v>28864.61283481237</c:v>
                </c:pt>
                <c:pt idx="85">
                  <c:v>26240.5571225567</c:v>
                </c:pt>
                <c:pt idx="86">
                  <c:v>23616.50141030103</c:v>
                </c:pt>
                <c:pt idx="87">
                  <c:v>20992.44569804536</c:v>
                </c:pt>
                <c:pt idx="88">
                  <c:v>18368.3899857897</c:v>
                </c:pt>
                <c:pt idx="89">
                  <c:v>15744.33427353402</c:v>
                </c:pt>
                <c:pt idx="90">
                  <c:v>13120.27856127835</c:v>
                </c:pt>
                <c:pt idx="91">
                  <c:v>10496.22284902268</c:v>
                </c:pt>
                <c:pt idx="92">
                  <c:v>7872.167136767006</c:v>
                </c:pt>
                <c:pt idx="93">
                  <c:v>5248.111424511338</c:v>
                </c:pt>
                <c:pt idx="94">
                  <c:v>2624.055712255671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Percentiles!$A$32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val>
            <c:numRef>
              <c:f>Percentiles!$F$32:$DA$32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4520.34597306543</c:v>
                </c:pt>
                <c:pt idx="84">
                  <c:v>13561.03791919629</c:v>
                </c:pt>
                <c:pt idx="85">
                  <c:v>22601.72986532716</c:v>
                </c:pt>
                <c:pt idx="86">
                  <c:v>31642.42181145802</c:v>
                </c:pt>
                <c:pt idx="87">
                  <c:v>40683.11375758888</c:v>
                </c:pt>
                <c:pt idx="88">
                  <c:v>49723.80570371974</c:v>
                </c:pt>
                <c:pt idx="89">
                  <c:v>58764.49764985061</c:v>
                </c:pt>
                <c:pt idx="90">
                  <c:v>67805.18959598147</c:v>
                </c:pt>
                <c:pt idx="91">
                  <c:v>76845.88154211233</c:v>
                </c:pt>
                <c:pt idx="92">
                  <c:v>85886.5734882432</c:v>
                </c:pt>
                <c:pt idx="93">
                  <c:v>94927.26543437406</c:v>
                </c:pt>
                <c:pt idx="94">
                  <c:v>103967.9573805049</c:v>
                </c:pt>
                <c:pt idx="95">
                  <c:v>113008.6493266358</c:v>
                </c:pt>
                <c:pt idx="96">
                  <c:v>113008.6493266358</c:v>
                </c:pt>
                <c:pt idx="97">
                  <c:v>113008.6493266358</c:v>
                </c:pt>
                <c:pt idx="98">
                  <c:v>113008.6493266358</c:v>
                </c:pt>
                <c:pt idx="99">
                  <c:v>113008.6493266358</c:v>
                </c:pt>
              </c:numCache>
            </c:numRef>
          </c:val>
        </c:ser>
        <c:ser>
          <c:idx val="8"/>
          <c:order val="8"/>
          <c:tx>
            <c:strRef>
              <c:f>Percentiles!$A$33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val>
            <c:numRef>
              <c:f>Percentiles!$F$33:$DA$33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Percentiles!$A$34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val>
            <c:numRef>
              <c:f>Percentiles!$F$34:$DA$34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325.4444096254591</c:v>
                </c:pt>
                <c:pt idx="64">
                  <c:v>976.3332288763773</c:v>
                </c:pt>
                <c:pt idx="65">
                  <c:v>1627.222048127295</c:v>
                </c:pt>
                <c:pt idx="66">
                  <c:v>2278.110867378214</c:v>
                </c:pt>
                <c:pt idx="67">
                  <c:v>2928.999686629132</c:v>
                </c:pt>
                <c:pt idx="68">
                  <c:v>3579.88850588005</c:v>
                </c:pt>
                <c:pt idx="69">
                  <c:v>4230.777325130968</c:v>
                </c:pt>
                <c:pt idx="70">
                  <c:v>4881.666144381886</c:v>
                </c:pt>
                <c:pt idx="71">
                  <c:v>5532.554963632805</c:v>
                </c:pt>
                <c:pt idx="72">
                  <c:v>6183.443782883723</c:v>
                </c:pt>
                <c:pt idx="73">
                  <c:v>6834.332602134641</c:v>
                </c:pt>
                <c:pt idx="74">
                  <c:v>7485.22142138556</c:v>
                </c:pt>
                <c:pt idx="75">
                  <c:v>8136.110240636478</c:v>
                </c:pt>
                <c:pt idx="76">
                  <c:v>8786.999059887396</c:v>
                </c:pt>
                <c:pt idx="77">
                  <c:v>9437.887879138314</c:v>
                </c:pt>
                <c:pt idx="78">
                  <c:v>10088.77669838923</c:v>
                </c:pt>
                <c:pt idx="79">
                  <c:v>10739.66551764015</c:v>
                </c:pt>
                <c:pt idx="80">
                  <c:v>11390.55433689107</c:v>
                </c:pt>
                <c:pt idx="81">
                  <c:v>12041.44315614199</c:v>
                </c:pt>
                <c:pt idx="82">
                  <c:v>12692.3319753929</c:v>
                </c:pt>
                <c:pt idx="83">
                  <c:v>16246.08242632666</c:v>
                </c:pt>
                <c:pt idx="84">
                  <c:v>22702.69450894324</c:v>
                </c:pt>
                <c:pt idx="85">
                  <c:v>29159.30659155983</c:v>
                </c:pt>
                <c:pt idx="86">
                  <c:v>35615.91867417642</c:v>
                </c:pt>
                <c:pt idx="87">
                  <c:v>42072.53075679301</c:v>
                </c:pt>
                <c:pt idx="88">
                  <c:v>48529.1428394096</c:v>
                </c:pt>
                <c:pt idx="89">
                  <c:v>54985.75492202618</c:v>
                </c:pt>
                <c:pt idx="90">
                  <c:v>61442.36700464277</c:v>
                </c:pt>
                <c:pt idx="91">
                  <c:v>67898.97908725936</c:v>
                </c:pt>
                <c:pt idx="92">
                  <c:v>74355.59116987594</c:v>
                </c:pt>
                <c:pt idx="93">
                  <c:v>80812.20325249253</c:v>
                </c:pt>
                <c:pt idx="94">
                  <c:v>87268.81533510913</c:v>
                </c:pt>
                <c:pt idx="95">
                  <c:v>93725.42741772571</c:v>
                </c:pt>
                <c:pt idx="96">
                  <c:v>93725.42741772571</c:v>
                </c:pt>
                <c:pt idx="97">
                  <c:v>93725.42741772571</c:v>
                </c:pt>
                <c:pt idx="98">
                  <c:v>93725.42741772571</c:v>
                </c:pt>
                <c:pt idx="99">
                  <c:v>93725.42741772571</c:v>
                </c:pt>
              </c:numCache>
            </c:numRef>
          </c:val>
        </c:ser>
        <c:ser>
          <c:idx val="10"/>
          <c:order val="10"/>
          <c:tx>
            <c:strRef>
              <c:f>Percentiles!$A$35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val>
            <c:numRef>
              <c:f>Percentiles!$F$35:$DA$35</c:f>
              <c:numCache>
                <c:formatCode>0.00</c:formatCode>
                <c:ptCount val="100"/>
                <c:pt idx="0">
                  <c:v>2094.712017250783</c:v>
                </c:pt>
                <c:pt idx="1">
                  <c:v>2094.712017250783</c:v>
                </c:pt>
                <c:pt idx="2">
                  <c:v>2094.712017250783</c:v>
                </c:pt>
                <c:pt idx="3">
                  <c:v>2094.712017250783</c:v>
                </c:pt>
                <c:pt idx="4">
                  <c:v>2094.712017250783</c:v>
                </c:pt>
                <c:pt idx="5">
                  <c:v>2094.712017250783</c:v>
                </c:pt>
                <c:pt idx="6">
                  <c:v>2094.712017250783</c:v>
                </c:pt>
                <c:pt idx="7">
                  <c:v>2094.712017250783</c:v>
                </c:pt>
                <c:pt idx="8">
                  <c:v>2094.712017250783</c:v>
                </c:pt>
                <c:pt idx="9">
                  <c:v>2094.712017250783</c:v>
                </c:pt>
                <c:pt idx="10">
                  <c:v>2094.712017250783</c:v>
                </c:pt>
                <c:pt idx="11">
                  <c:v>2094.712017250783</c:v>
                </c:pt>
                <c:pt idx="12">
                  <c:v>2094.712017250783</c:v>
                </c:pt>
                <c:pt idx="13">
                  <c:v>2094.712017250783</c:v>
                </c:pt>
                <c:pt idx="14">
                  <c:v>2094.712017250783</c:v>
                </c:pt>
                <c:pt idx="15">
                  <c:v>2094.712017250783</c:v>
                </c:pt>
                <c:pt idx="16">
                  <c:v>2094.712017250783</c:v>
                </c:pt>
                <c:pt idx="17">
                  <c:v>2094.712017250783</c:v>
                </c:pt>
                <c:pt idx="18">
                  <c:v>2094.712017250783</c:v>
                </c:pt>
                <c:pt idx="19">
                  <c:v>2094.712017250783</c:v>
                </c:pt>
                <c:pt idx="20">
                  <c:v>2094.712017250783</c:v>
                </c:pt>
                <c:pt idx="21">
                  <c:v>2094.712017250783</c:v>
                </c:pt>
                <c:pt idx="22">
                  <c:v>2094.712017250783</c:v>
                </c:pt>
                <c:pt idx="23">
                  <c:v>2094.712017250783</c:v>
                </c:pt>
                <c:pt idx="24">
                  <c:v>2094.712017250783</c:v>
                </c:pt>
                <c:pt idx="25">
                  <c:v>2094.712017250783</c:v>
                </c:pt>
                <c:pt idx="26">
                  <c:v>2094.712017250783</c:v>
                </c:pt>
                <c:pt idx="27">
                  <c:v>2094.712017250783</c:v>
                </c:pt>
                <c:pt idx="28">
                  <c:v>2094.712017250783</c:v>
                </c:pt>
                <c:pt idx="29">
                  <c:v>2094.712017250783</c:v>
                </c:pt>
                <c:pt idx="30">
                  <c:v>2094.712017250783</c:v>
                </c:pt>
                <c:pt idx="31">
                  <c:v>2094.712017250783</c:v>
                </c:pt>
                <c:pt idx="32">
                  <c:v>2094.712017250783</c:v>
                </c:pt>
                <c:pt idx="33">
                  <c:v>2094.712017250783</c:v>
                </c:pt>
                <c:pt idx="34">
                  <c:v>2094.712017250783</c:v>
                </c:pt>
                <c:pt idx="35">
                  <c:v>2094.712017250783</c:v>
                </c:pt>
                <c:pt idx="36">
                  <c:v>2094.712017250783</c:v>
                </c:pt>
                <c:pt idx="37">
                  <c:v>2094.712017250783</c:v>
                </c:pt>
                <c:pt idx="38">
                  <c:v>2094.712017250783</c:v>
                </c:pt>
                <c:pt idx="39">
                  <c:v>2094.712017250783</c:v>
                </c:pt>
                <c:pt idx="40">
                  <c:v>2094.712017250783</c:v>
                </c:pt>
                <c:pt idx="41">
                  <c:v>2094.712017250783</c:v>
                </c:pt>
                <c:pt idx="42">
                  <c:v>2094.712017250783</c:v>
                </c:pt>
                <c:pt idx="43">
                  <c:v>2094.712017250783</c:v>
                </c:pt>
                <c:pt idx="44">
                  <c:v>2094.712017250784</c:v>
                </c:pt>
                <c:pt idx="45">
                  <c:v>2094.712017250784</c:v>
                </c:pt>
                <c:pt idx="46">
                  <c:v>2094.712017250784</c:v>
                </c:pt>
                <c:pt idx="47">
                  <c:v>2094.712017250784</c:v>
                </c:pt>
                <c:pt idx="48">
                  <c:v>2094.712017250784</c:v>
                </c:pt>
                <c:pt idx="49">
                  <c:v>2094.712017250784</c:v>
                </c:pt>
                <c:pt idx="50">
                  <c:v>2094.712017250784</c:v>
                </c:pt>
                <c:pt idx="51">
                  <c:v>2094.712017250784</c:v>
                </c:pt>
                <c:pt idx="52">
                  <c:v>2094.712017250784</c:v>
                </c:pt>
                <c:pt idx="53">
                  <c:v>2094.712017250784</c:v>
                </c:pt>
                <c:pt idx="54">
                  <c:v>2094.712017250784</c:v>
                </c:pt>
                <c:pt idx="55">
                  <c:v>2094.712017250784</c:v>
                </c:pt>
                <c:pt idx="56">
                  <c:v>2094.712017250784</c:v>
                </c:pt>
                <c:pt idx="57">
                  <c:v>2094.712017250784</c:v>
                </c:pt>
                <c:pt idx="58">
                  <c:v>2094.712017250784</c:v>
                </c:pt>
                <c:pt idx="59">
                  <c:v>2094.712017250784</c:v>
                </c:pt>
                <c:pt idx="60">
                  <c:v>2094.712017250784</c:v>
                </c:pt>
                <c:pt idx="61">
                  <c:v>2094.712017250784</c:v>
                </c:pt>
                <c:pt idx="62">
                  <c:v>2094.712017250784</c:v>
                </c:pt>
                <c:pt idx="63">
                  <c:v>2094.712017250784</c:v>
                </c:pt>
                <c:pt idx="64">
                  <c:v>2094.712017250784</c:v>
                </c:pt>
                <c:pt idx="65">
                  <c:v>2094.712017250784</c:v>
                </c:pt>
                <c:pt idx="66">
                  <c:v>2094.712017250784</c:v>
                </c:pt>
                <c:pt idx="67">
                  <c:v>2094.712017250784</c:v>
                </c:pt>
                <c:pt idx="68">
                  <c:v>2094.712017250784</c:v>
                </c:pt>
                <c:pt idx="69">
                  <c:v>2094.712017250784</c:v>
                </c:pt>
                <c:pt idx="70">
                  <c:v>2094.712017250784</c:v>
                </c:pt>
                <c:pt idx="71">
                  <c:v>2094.712017250784</c:v>
                </c:pt>
                <c:pt idx="72">
                  <c:v>2094.712017250784</c:v>
                </c:pt>
                <c:pt idx="73">
                  <c:v>2094.712017250783</c:v>
                </c:pt>
                <c:pt idx="74">
                  <c:v>2094.712017250783</c:v>
                </c:pt>
                <c:pt idx="75">
                  <c:v>2094.712017250783</c:v>
                </c:pt>
                <c:pt idx="76">
                  <c:v>2094.712017250783</c:v>
                </c:pt>
                <c:pt idx="77">
                  <c:v>2094.712017250783</c:v>
                </c:pt>
                <c:pt idx="78">
                  <c:v>2094.712017250783</c:v>
                </c:pt>
                <c:pt idx="79">
                  <c:v>2094.712017250783</c:v>
                </c:pt>
                <c:pt idx="80">
                  <c:v>2094.712017250783</c:v>
                </c:pt>
                <c:pt idx="81">
                  <c:v>2094.712017250783</c:v>
                </c:pt>
                <c:pt idx="82">
                  <c:v>2094.712017250783</c:v>
                </c:pt>
                <c:pt idx="83">
                  <c:v>2010.923536560752</c:v>
                </c:pt>
                <c:pt idx="84">
                  <c:v>1843.34657518069</c:v>
                </c:pt>
                <c:pt idx="85">
                  <c:v>1675.769613800627</c:v>
                </c:pt>
                <c:pt idx="86">
                  <c:v>1508.192652420564</c:v>
                </c:pt>
                <c:pt idx="87">
                  <c:v>1340.615691040502</c:v>
                </c:pt>
                <c:pt idx="88">
                  <c:v>1173.038729660439</c:v>
                </c:pt>
                <c:pt idx="89">
                  <c:v>1005.461768280376</c:v>
                </c:pt>
                <c:pt idx="90">
                  <c:v>837.8848069003133</c:v>
                </c:pt>
                <c:pt idx="91">
                  <c:v>670.3078455202506</c:v>
                </c:pt>
                <c:pt idx="92">
                  <c:v>502.730884140188</c:v>
                </c:pt>
                <c:pt idx="93">
                  <c:v>335.1539227601254</c:v>
                </c:pt>
                <c:pt idx="94">
                  <c:v>167.5769613800626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Percentiles!$A$36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val>
            <c:numRef>
              <c:f>Percentiles!$F$36:$DA$36</c:f>
              <c:numCache>
                <c:formatCode>0.00</c:formatCode>
                <c:ptCount val="100"/>
                <c:pt idx="0">
                  <c:v>34543.23339961566</c:v>
                </c:pt>
                <c:pt idx="1">
                  <c:v>34543.23339961566</c:v>
                </c:pt>
                <c:pt idx="2">
                  <c:v>34543.23339961566</c:v>
                </c:pt>
                <c:pt idx="3">
                  <c:v>34543.23339961566</c:v>
                </c:pt>
                <c:pt idx="4">
                  <c:v>34543.23339961566</c:v>
                </c:pt>
                <c:pt idx="5">
                  <c:v>34543.23339961566</c:v>
                </c:pt>
                <c:pt idx="6">
                  <c:v>34543.23339961566</c:v>
                </c:pt>
                <c:pt idx="7">
                  <c:v>34543.23339961566</c:v>
                </c:pt>
                <c:pt idx="8">
                  <c:v>34543.23339961566</c:v>
                </c:pt>
                <c:pt idx="9">
                  <c:v>34543.23339961566</c:v>
                </c:pt>
                <c:pt idx="10">
                  <c:v>34543.23339961566</c:v>
                </c:pt>
                <c:pt idx="11">
                  <c:v>34543.23339961566</c:v>
                </c:pt>
                <c:pt idx="12">
                  <c:v>34543.23339961566</c:v>
                </c:pt>
                <c:pt idx="13">
                  <c:v>34543.23339961566</c:v>
                </c:pt>
                <c:pt idx="14">
                  <c:v>34543.23339961566</c:v>
                </c:pt>
                <c:pt idx="15">
                  <c:v>34543.23339961566</c:v>
                </c:pt>
                <c:pt idx="16">
                  <c:v>34543.23339961566</c:v>
                </c:pt>
                <c:pt idx="17">
                  <c:v>34543.23339961566</c:v>
                </c:pt>
                <c:pt idx="18">
                  <c:v>34543.23339961566</c:v>
                </c:pt>
                <c:pt idx="19">
                  <c:v>34543.23339961566</c:v>
                </c:pt>
                <c:pt idx="20">
                  <c:v>34543.23339961566</c:v>
                </c:pt>
                <c:pt idx="21">
                  <c:v>34543.23339961566</c:v>
                </c:pt>
                <c:pt idx="22">
                  <c:v>34543.23339961566</c:v>
                </c:pt>
                <c:pt idx="23">
                  <c:v>34543.23339961566</c:v>
                </c:pt>
                <c:pt idx="24">
                  <c:v>34543.23339961566</c:v>
                </c:pt>
                <c:pt idx="25">
                  <c:v>34543.23339961566</c:v>
                </c:pt>
                <c:pt idx="26">
                  <c:v>34499.8408116656</c:v>
                </c:pt>
                <c:pt idx="27">
                  <c:v>34456.44822371554</c:v>
                </c:pt>
                <c:pt idx="28">
                  <c:v>34413.05563576548</c:v>
                </c:pt>
                <c:pt idx="29">
                  <c:v>34369.66304781541</c:v>
                </c:pt>
                <c:pt idx="30">
                  <c:v>34326.27045986535</c:v>
                </c:pt>
                <c:pt idx="31">
                  <c:v>34282.87787191529</c:v>
                </c:pt>
                <c:pt idx="32">
                  <c:v>34239.48528396523</c:v>
                </c:pt>
                <c:pt idx="33">
                  <c:v>34196.09269601517</c:v>
                </c:pt>
                <c:pt idx="34">
                  <c:v>34152.70010806511</c:v>
                </c:pt>
                <c:pt idx="35">
                  <c:v>34109.30752011505</c:v>
                </c:pt>
                <c:pt idx="36">
                  <c:v>34065.91493216498</c:v>
                </c:pt>
                <c:pt idx="37">
                  <c:v>34022.52234421492</c:v>
                </c:pt>
                <c:pt idx="38">
                  <c:v>33979.12975626486</c:v>
                </c:pt>
                <c:pt idx="39">
                  <c:v>33935.7371683148</c:v>
                </c:pt>
                <c:pt idx="40">
                  <c:v>33892.34458036474</c:v>
                </c:pt>
                <c:pt idx="41">
                  <c:v>33848.95199241468</c:v>
                </c:pt>
                <c:pt idx="42">
                  <c:v>33805.55940446462</c:v>
                </c:pt>
                <c:pt idx="43">
                  <c:v>33762.16681651456</c:v>
                </c:pt>
                <c:pt idx="44">
                  <c:v>33718.77422856449</c:v>
                </c:pt>
                <c:pt idx="45">
                  <c:v>33675.38164061443</c:v>
                </c:pt>
                <c:pt idx="46">
                  <c:v>33631.98905266437</c:v>
                </c:pt>
                <c:pt idx="47">
                  <c:v>33588.59646471431</c:v>
                </c:pt>
                <c:pt idx="48">
                  <c:v>33545.20387676425</c:v>
                </c:pt>
                <c:pt idx="49">
                  <c:v>33501.8112888142</c:v>
                </c:pt>
                <c:pt idx="50">
                  <c:v>33458.41870086413</c:v>
                </c:pt>
                <c:pt idx="51">
                  <c:v>33415.02611291407</c:v>
                </c:pt>
                <c:pt idx="52">
                  <c:v>33371.633524964</c:v>
                </c:pt>
                <c:pt idx="53">
                  <c:v>33328.24093701394</c:v>
                </c:pt>
                <c:pt idx="54">
                  <c:v>33284.84834906388</c:v>
                </c:pt>
                <c:pt idx="55">
                  <c:v>33241.45576111382</c:v>
                </c:pt>
                <c:pt idx="56">
                  <c:v>33198.06317316376</c:v>
                </c:pt>
                <c:pt idx="57">
                  <c:v>33154.6705852137</c:v>
                </c:pt>
                <c:pt idx="58">
                  <c:v>33111.27799726364</c:v>
                </c:pt>
                <c:pt idx="59">
                  <c:v>33067.88540931357</c:v>
                </c:pt>
                <c:pt idx="60">
                  <c:v>33024.49282136351</c:v>
                </c:pt>
                <c:pt idx="61">
                  <c:v>32981.10023341345</c:v>
                </c:pt>
                <c:pt idx="62">
                  <c:v>32937.70764546339</c:v>
                </c:pt>
                <c:pt idx="63">
                  <c:v>32093.11106770115</c:v>
                </c:pt>
                <c:pt idx="64">
                  <c:v>30447.31050012674</c:v>
                </c:pt>
                <c:pt idx="65">
                  <c:v>28801.50993255232</c:v>
                </c:pt>
                <c:pt idx="66">
                  <c:v>27155.7093649779</c:v>
                </c:pt>
                <c:pt idx="67">
                  <c:v>25509.90879740348</c:v>
                </c:pt>
                <c:pt idx="68">
                  <c:v>23864.10822982906</c:v>
                </c:pt>
                <c:pt idx="69">
                  <c:v>22218.30766225464</c:v>
                </c:pt>
                <c:pt idx="70">
                  <c:v>20572.50709468023</c:v>
                </c:pt>
                <c:pt idx="71">
                  <c:v>18926.70652710581</c:v>
                </c:pt>
                <c:pt idx="72">
                  <c:v>17280.90595953139</c:v>
                </c:pt>
                <c:pt idx="73">
                  <c:v>15635.10539195697</c:v>
                </c:pt>
                <c:pt idx="74">
                  <c:v>13989.30482438255</c:v>
                </c:pt>
                <c:pt idx="75">
                  <c:v>12343.50425680814</c:v>
                </c:pt>
                <c:pt idx="76">
                  <c:v>10697.70368923372</c:v>
                </c:pt>
                <c:pt idx="77">
                  <c:v>9051.903121659299</c:v>
                </c:pt>
                <c:pt idx="78">
                  <c:v>7406.102554084882</c:v>
                </c:pt>
                <c:pt idx="79">
                  <c:v>5760.301986510465</c:v>
                </c:pt>
                <c:pt idx="80">
                  <c:v>4114.501418936045</c:v>
                </c:pt>
                <c:pt idx="81">
                  <c:v>2468.700851361631</c:v>
                </c:pt>
                <c:pt idx="82">
                  <c:v>822.9002837872104</c:v>
                </c:pt>
                <c:pt idx="83">
                  <c:v>455.6221734756427</c:v>
                </c:pt>
                <c:pt idx="84">
                  <c:v>1366.866520426928</c:v>
                </c:pt>
                <c:pt idx="85">
                  <c:v>2278.110867378213</c:v>
                </c:pt>
                <c:pt idx="86">
                  <c:v>3189.355214329498</c:v>
                </c:pt>
                <c:pt idx="87">
                  <c:v>4100.599561280784</c:v>
                </c:pt>
                <c:pt idx="88">
                  <c:v>5011.84390823207</c:v>
                </c:pt>
                <c:pt idx="89">
                  <c:v>5923.088255183356</c:v>
                </c:pt>
                <c:pt idx="90">
                  <c:v>6834.33260213464</c:v>
                </c:pt>
                <c:pt idx="91">
                  <c:v>7745.576949085926</c:v>
                </c:pt>
                <c:pt idx="92">
                  <c:v>8656.821296037211</c:v>
                </c:pt>
                <c:pt idx="93">
                  <c:v>9568.065642988497</c:v>
                </c:pt>
                <c:pt idx="94">
                  <c:v>10479.30998993978</c:v>
                </c:pt>
                <c:pt idx="95">
                  <c:v>11390.55433689107</c:v>
                </c:pt>
                <c:pt idx="96">
                  <c:v>11390.55433689107</c:v>
                </c:pt>
                <c:pt idx="97">
                  <c:v>11390.55433689107</c:v>
                </c:pt>
                <c:pt idx="98">
                  <c:v>11390.55433689107</c:v>
                </c:pt>
                <c:pt idx="99">
                  <c:v>11390.55433689107</c:v>
                </c:pt>
              </c:numCache>
            </c:numRef>
          </c:val>
        </c:ser>
        <c:ser>
          <c:idx val="13"/>
          <c:order val="12"/>
          <c:tx>
            <c:strRef>
              <c:f>Percentiles!$A$37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Percentiles!$F$37:$DA$37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512.5108812999356</c:v>
                </c:pt>
                <c:pt idx="64">
                  <c:v>1537.532643899807</c:v>
                </c:pt>
                <c:pt idx="65">
                  <c:v>2562.554406499678</c:v>
                </c:pt>
                <c:pt idx="66">
                  <c:v>3587.576169099549</c:v>
                </c:pt>
                <c:pt idx="67">
                  <c:v>4612.59793169942</c:v>
                </c:pt>
                <c:pt idx="68">
                  <c:v>5637.619694299291</c:v>
                </c:pt>
                <c:pt idx="69">
                  <c:v>6662.641456899163</c:v>
                </c:pt>
                <c:pt idx="70">
                  <c:v>7687.663219499033</c:v>
                </c:pt>
                <c:pt idx="71">
                  <c:v>8712.684982098904</c:v>
                </c:pt>
                <c:pt idx="72">
                  <c:v>9737.706744698775</c:v>
                </c:pt>
                <c:pt idx="73">
                  <c:v>10762.72850729865</c:v>
                </c:pt>
                <c:pt idx="74">
                  <c:v>11787.75026989852</c:v>
                </c:pt>
                <c:pt idx="75">
                  <c:v>12812.77203249839</c:v>
                </c:pt>
                <c:pt idx="76">
                  <c:v>13837.79379509826</c:v>
                </c:pt>
                <c:pt idx="77">
                  <c:v>14862.81555769813</c:v>
                </c:pt>
                <c:pt idx="78">
                  <c:v>15887.837320298</c:v>
                </c:pt>
                <c:pt idx="79">
                  <c:v>16912.85908289787</c:v>
                </c:pt>
                <c:pt idx="80">
                  <c:v>17937.88084549775</c:v>
                </c:pt>
                <c:pt idx="81">
                  <c:v>18962.90260809762</c:v>
                </c:pt>
                <c:pt idx="82">
                  <c:v>19987.92437069749</c:v>
                </c:pt>
                <c:pt idx="83">
                  <c:v>21237.42589930673</c:v>
                </c:pt>
                <c:pt idx="84">
                  <c:v>22711.40719392534</c:v>
                </c:pt>
                <c:pt idx="85">
                  <c:v>24185.38848854396</c:v>
                </c:pt>
                <c:pt idx="86">
                  <c:v>25659.36978316258</c:v>
                </c:pt>
                <c:pt idx="87">
                  <c:v>27133.35107778119</c:v>
                </c:pt>
                <c:pt idx="88">
                  <c:v>28607.3323723998</c:v>
                </c:pt>
                <c:pt idx="89">
                  <c:v>30081.31366701842</c:v>
                </c:pt>
                <c:pt idx="90">
                  <c:v>31555.29496163703</c:v>
                </c:pt>
                <c:pt idx="91">
                  <c:v>33029.27625625565</c:v>
                </c:pt>
                <c:pt idx="92">
                  <c:v>34503.25755087427</c:v>
                </c:pt>
                <c:pt idx="93">
                  <c:v>35977.23884549288</c:v>
                </c:pt>
                <c:pt idx="94">
                  <c:v>37451.22014011149</c:v>
                </c:pt>
                <c:pt idx="95">
                  <c:v>38925.20143473011</c:v>
                </c:pt>
                <c:pt idx="96">
                  <c:v>38925.20143473011</c:v>
                </c:pt>
                <c:pt idx="97">
                  <c:v>38925.20143473011</c:v>
                </c:pt>
                <c:pt idx="98">
                  <c:v>38925.20143473011</c:v>
                </c:pt>
                <c:pt idx="99">
                  <c:v>38925.20143473011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75885432"/>
        <c:axId val="-2075882056"/>
      </c:bar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Percentiles!$F$39:$DA$39</c:f>
              <c:numCache>
                <c:formatCode>0</c:formatCode>
                <c:ptCount val="100"/>
                <c:pt idx="0">
                  <c:v>35969.40697206206</c:v>
                </c:pt>
                <c:pt idx="1">
                  <c:v>35969.40697206206</c:v>
                </c:pt>
                <c:pt idx="2">
                  <c:v>35969.40697206206</c:v>
                </c:pt>
                <c:pt idx="3">
                  <c:v>35969.40697206206</c:v>
                </c:pt>
                <c:pt idx="4">
                  <c:v>35969.40697206206</c:v>
                </c:pt>
                <c:pt idx="5">
                  <c:v>35969.40697206206</c:v>
                </c:pt>
                <c:pt idx="6">
                  <c:v>35969.40697206206</c:v>
                </c:pt>
                <c:pt idx="7">
                  <c:v>35969.40697206206</c:v>
                </c:pt>
                <c:pt idx="8">
                  <c:v>35969.40697206206</c:v>
                </c:pt>
                <c:pt idx="9">
                  <c:v>35969.40697206206</c:v>
                </c:pt>
                <c:pt idx="10">
                  <c:v>35969.40697206206</c:v>
                </c:pt>
                <c:pt idx="11">
                  <c:v>35969.40697206206</c:v>
                </c:pt>
                <c:pt idx="12">
                  <c:v>35969.40697206206</c:v>
                </c:pt>
                <c:pt idx="13">
                  <c:v>35969.40697206206</c:v>
                </c:pt>
                <c:pt idx="14">
                  <c:v>35969.40697206206</c:v>
                </c:pt>
                <c:pt idx="15">
                  <c:v>35969.40697206206</c:v>
                </c:pt>
                <c:pt idx="16">
                  <c:v>35969.40697206206</c:v>
                </c:pt>
                <c:pt idx="17">
                  <c:v>35969.40697206206</c:v>
                </c:pt>
                <c:pt idx="18">
                  <c:v>35969.40697206206</c:v>
                </c:pt>
                <c:pt idx="19">
                  <c:v>35969.40697206206</c:v>
                </c:pt>
                <c:pt idx="20">
                  <c:v>35969.40697206206</c:v>
                </c:pt>
                <c:pt idx="21">
                  <c:v>35969.40697206206</c:v>
                </c:pt>
                <c:pt idx="22">
                  <c:v>35969.40697206206</c:v>
                </c:pt>
                <c:pt idx="23">
                  <c:v>35969.40697206206</c:v>
                </c:pt>
                <c:pt idx="24">
                  <c:v>35969.40697206206</c:v>
                </c:pt>
                <c:pt idx="25">
                  <c:v>35969.40697206206</c:v>
                </c:pt>
                <c:pt idx="26">
                  <c:v>35969.40697206206</c:v>
                </c:pt>
                <c:pt idx="27">
                  <c:v>35969.40697206206</c:v>
                </c:pt>
                <c:pt idx="28">
                  <c:v>35969.40697206206</c:v>
                </c:pt>
                <c:pt idx="29">
                  <c:v>35969.40697206206</c:v>
                </c:pt>
                <c:pt idx="30">
                  <c:v>35969.40697206206</c:v>
                </c:pt>
                <c:pt idx="31">
                  <c:v>35969.40697206206</c:v>
                </c:pt>
                <c:pt idx="32">
                  <c:v>35969.40697206206</c:v>
                </c:pt>
                <c:pt idx="33">
                  <c:v>35969.40697206206</c:v>
                </c:pt>
                <c:pt idx="34">
                  <c:v>35969.40697206206</c:v>
                </c:pt>
                <c:pt idx="35">
                  <c:v>35969.40697206206</c:v>
                </c:pt>
                <c:pt idx="36">
                  <c:v>35969.40697206206</c:v>
                </c:pt>
                <c:pt idx="37">
                  <c:v>35969.40697206206</c:v>
                </c:pt>
                <c:pt idx="38">
                  <c:v>35969.40697206206</c:v>
                </c:pt>
                <c:pt idx="39">
                  <c:v>35969.40697206206</c:v>
                </c:pt>
                <c:pt idx="40">
                  <c:v>35969.40697206206</c:v>
                </c:pt>
                <c:pt idx="41">
                  <c:v>35969.40697206206</c:v>
                </c:pt>
                <c:pt idx="42">
                  <c:v>35969.40697206206</c:v>
                </c:pt>
                <c:pt idx="43">
                  <c:v>35969.40697206206</c:v>
                </c:pt>
                <c:pt idx="44">
                  <c:v>35969.40697206206</c:v>
                </c:pt>
                <c:pt idx="45">
                  <c:v>35969.40697206206</c:v>
                </c:pt>
                <c:pt idx="46">
                  <c:v>35969.40697206206</c:v>
                </c:pt>
                <c:pt idx="47">
                  <c:v>35969.40697206206</c:v>
                </c:pt>
                <c:pt idx="48">
                  <c:v>35969.40697206206</c:v>
                </c:pt>
                <c:pt idx="49">
                  <c:v>35969.40697206206</c:v>
                </c:pt>
                <c:pt idx="50">
                  <c:v>35969.40697206205</c:v>
                </c:pt>
                <c:pt idx="51">
                  <c:v>35969.40697206205</c:v>
                </c:pt>
                <c:pt idx="52">
                  <c:v>35969.40697206205</c:v>
                </c:pt>
                <c:pt idx="53">
                  <c:v>35969.40697206205</c:v>
                </c:pt>
                <c:pt idx="54">
                  <c:v>35969.40697206205</c:v>
                </c:pt>
                <c:pt idx="55">
                  <c:v>35969.40697206205</c:v>
                </c:pt>
                <c:pt idx="56">
                  <c:v>35969.40697206205</c:v>
                </c:pt>
                <c:pt idx="57">
                  <c:v>35969.40697206205</c:v>
                </c:pt>
                <c:pt idx="58">
                  <c:v>35969.40697206205</c:v>
                </c:pt>
                <c:pt idx="59">
                  <c:v>35969.40697206205</c:v>
                </c:pt>
                <c:pt idx="60">
                  <c:v>35969.40697206205</c:v>
                </c:pt>
                <c:pt idx="61">
                  <c:v>35969.40697206205</c:v>
                </c:pt>
                <c:pt idx="62">
                  <c:v>35969.40697206205</c:v>
                </c:pt>
                <c:pt idx="63">
                  <c:v>35969.40697206205</c:v>
                </c:pt>
                <c:pt idx="64">
                  <c:v>35969.40697206205</c:v>
                </c:pt>
                <c:pt idx="65">
                  <c:v>35969.40697206205</c:v>
                </c:pt>
                <c:pt idx="66">
                  <c:v>35969.40697206205</c:v>
                </c:pt>
                <c:pt idx="67">
                  <c:v>35969.40697206205</c:v>
                </c:pt>
                <c:pt idx="68">
                  <c:v>35969.40697206205</c:v>
                </c:pt>
                <c:pt idx="69">
                  <c:v>35969.40697206205</c:v>
                </c:pt>
                <c:pt idx="70">
                  <c:v>35969.40697206205</c:v>
                </c:pt>
                <c:pt idx="71">
                  <c:v>35969.40697206205</c:v>
                </c:pt>
                <c:pt idx="72">
                  <c:v>35969.40697206205</c:v>
                </c:pt>
                <c:pt idx="73">
                  <c:v>35969.40697206205</c:v>
                </c:pt>
                <c:pt idx="74">
                  <c:v>35969.40697206205</c:v>
                </c:pt>
                <c:pt idx="75">
                  <c:v>35969.40697206205</c:v>
                </c:pt>
                <c:pt idx="76">
                  <c:v>35969.40697206205</c:v>
                </c:pt>
                <c:pt idx="77">
                  <c:v>35969.40697206205</c:v>
                </c:pt>
                <c:pt idx="78">
                  <c:v>35969.40697206205</c:v>
                </c:pt>
                <c:pt idx="79">
                  <c:v>35969.40697206205</c:v>
                </c:pt>
                <c:pt idx="80">
                  <c:v>35969.40697206205</c:v>
                </c:pt>
                <c:pt idx="81">
                  <c:v>35969.40697206205</c:v>
                </c:pt>
                <c:pt idx="82">
                  <c:v>35969.40697206205</c:v>
                </c:pt>
                <c:pt idx="83">
                  <c:v>35969.40697206205</c:v>
                </c:pt>
                <c:pt idx="84">
                  <c:v>35969.40697206205</c:v>
                </c:pt>
                <c:pt idx="85">
                  <c:v>35969.40697206205</c:v>
                </c:pt>
                <c:pt idx="86">
                  <c:v>35969.40697206205</c:v>
                </c:pt>
                <c:pt idx="87">
                  <c:v>35969.40697206205</c:v>
                </c:pt>
                <c:pt idx="88">
                  <c:v>35969.40697206205</c:v>
                </c:pt>
                <c:pt idx="89">
                  <c:v>35969.40697206205</c:v>
                </c:pt>
                <c:pt idx="90">
                  <c:v>35969.40697206206</c:v>
                </c:pt>
                <c:pt idx="91">
                  <c:v>35969.40697206206</c:v>
                </c:pt>
                <c:pt idx="92">
                  <c:v>35969.40697206206</c:v>
                </c:pt>
                <c:pt idx="93">
                  <c:v>35969.40697206206</c:v>
                </c:pt>
                <c:pt idx="94">
                  <c:v>35969.40697206206</c:v>
                </c:pt>
                <c:pt idx="95">
                  <c:v>35969.40697206206</c:v>
                </c:pt>
                <c:pt idx="96">
                  <c:v>35969.40697206206</c:v>
                </c:pt>
                <c:pt idx="97">
                  <c:v>35969.40697206206</c:v>
                </c:pt>
                <c:pt idx="98">
                  <c:v>35969.40697206206</c:v>
                </c:pt>
                <c:pt idx="99">
                  <c:v>35969.40697206206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5885432"/>
        <c:axId val="-2075882056"/>
      </c:lineChart>
      <c:catAx>
        <c:axId val="-2075885432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7588205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7588205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75885432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26816082347248"/>
          <c:y val="0.1875"/>
          <c:w val="0.993017309637971"/>
          <c:h val="0.7916664323209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Percentiles!$A$108</c:f>
              <c:strCache>
                <c:ptCount val="1"/>
                <c:pt idx="0">
                  <c:v>Own crops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B050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99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41164049920852"/>
                  <c:y val="-0.043055869324632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99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Percentiles!$C$108:$E$108</c:f>
              <c:numCache>
                <c:formatCode>0.000</c:formatCode>
                <c:ptCount val="3"/>
                <c:pt idx="0">
                  <c:v>0.0</c:v>
                </c:pt>
                <c:pt idx="1">
                  <c:v>-15.80099681339623</c:v>
                </c:pt>
                <c:pt idx="2">
                  <c:v>-89.32305955999632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Percentiles!$A$109</c:f>
              <c:strCache>
                <c:ptCount val="1"/>
                <c:pt idx="0">
                  <c:v>Own crops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92D05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CC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270829455205071"/>
                  <c:y val="-0.09995610410333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CC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Percentiles!$C$109:$E$109</c:f>
              <c:numCache>
                <c:formatCode>0.000</c:formatCode>
                <c:ptCount val="3"/>
                <c:pt idx="0">
                  <c:v>340.26</c:v>
                </c:pt>
                <c:pt idx="1">
                  <c:v>1767.948994284236</c:v>
                </c:pt>
                <c:pt idx="2">
                  <c:v>-1827.545467931397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Percentiles!$A$113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B3A2C7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760347252265127"/>
                  <c:y val="-0.037144945381528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Percentiles!$C$113:$E$113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Percentiles!$A$116</c:f>
              <c:strCache>
                <c:ptCount val="1"/>
                <c:pt idx="0">
                  <c:v>Self - employment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CCFF"/>
              </a:solidFill>
              <a:ln>
                <a:solidFill>
                  <a:srgbClr val="CCCC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CC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4252973109329"/>
                  <c:y val="-0.0007532842693702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Percentiles!$C$116:$E$116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Percentiles!$A$118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558ED5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66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5841005402218"/>
                  <c:y val="0.1024433243547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Percentiles!$C$118:$E$118</c:f>
              <c:numCache>
                <c:formatCode>0.000</c:formatCode>
                <c:ptCount val="3"/>
                <c:pt idx="0">
                  <c:v>0.0</c:v>
                </c:pt>
                <c:pt idx="1">
                  <c:v>-2.27373675443232E-14</c:v>
                </c:pt>
                <c:pt idx="2">
                  <c:v>-167.5769613800627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Percentiles!$A$119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A6A6A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6969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0302772550325083"/>
                  <c:y val="0.0030829599084143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6969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Percentiles!$C$119:$E$119</c:f>
              <c:numCache>
                <c:formatCode>0.000</c:formatCode>
                <c:ptCount val="3"/>
                <c:pt idx="0">
                  <c:v>0.0</c:v>
                </c:pt>
                <c:pt idx="1">
                  <c:v>-1645.800567574418</c:v>
                </c:pt>
                <c:pt idx="2">
                  <c:v>911.2443469512853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5702408"/>
        <c:axId val="-2075699064"/>
      </c:scatterChart>
      <c:scatterChart>
        <c:scatterStyle val="lineMarker"/>
        <c:varyColors val="0"/>
        <c:ser>
          <c:idx val="2"/>
          <c:order val="2"/>
          <c:tx>
            <c:strRef>
              <c:f>Percentiles!$A$110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0706759152949"/>
                  <c:y val="0.057628258472003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Percentiles!$C$110:$E$110</c:f>
              <c:numCache>
                <c:formatCode>0.000</c:formatCode>
                <c:ptCount val="3"/>
                <c:pt idx="0">
                  <c:v>0.0</c:v>
                </c:pt>
                <c:pt idx="1">
                  <c:v>81.16357893139059</c:v>
                </c:pt>
                <c:pt idx="2">
                  <c:v>44.9449120422372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Percentiles!$A$111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trendline>
            <c:spPr>
              <a:ln w="3175">
                <a:solidFill>
                  <a:srgbClr val="FCF305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0202835732677505"/>
                  <c:y val="-0.062269975492649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CF305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Percentiles!$C$111:$E$111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Percentiles!$A$112</c:f>
              <c:strCache>
                <c:ptCount val="1"/>
                <c:pt idx="0">
                  <c:v>Animals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AC090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66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816964055750752"/>
                  <c:y val="-0.056227273084731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66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Percentiles!$C$112:$E$112</c:f>
              <c:numCache>
                <c:formatCode>0.000</c:formatCode>
                <c:ptCount val="3"/>
                <c:pt idx="0">
                  <c:v>0.0</c:v>
                </c:pt>
                <c:pt idx="1">
                  <c:v>1398.193748046386</c:v>
                </c:pt>
                <c:pt idx="2">
                  <c:v>513.3650661021023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Percentiles!$A$114</c:f>
              <c:strCache>
                <c:ptCount val="1"/>
                <c:pt idx="0">
                  <c:v>Labour - casual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9694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808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78549659290863"/>
                  <c:y val="-0.3669167922537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Percentiles!$C$114:$E$114</c:f>
              <c:numCache>
                <c:formatCode>0.000</c:formatCode>
                <c:ptCount val="3"/>
                <c:pt idx="0">
                  <c:v>0.0</c:v>
                </c:pt>
                <c:pt idx="1">
                  <c:v>1269.318616019507</c:v>
                </c:pt>
                <c:pt idx="2">
                  <c:v>-2624.05571225567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Percentiles!$A$115</c:f>
              <c:strCache>
                <c:ptCount val="1"/>
                <c:pt idx="0">
                  <c:v>Labour - formal emp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33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476769435143113"/>
                  <c:y val="0.30236643271770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33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Percentiles!$C$115:$E$115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9040.69194613086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Percentiles!$A$117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C66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176797809678449"/>
                  <c:y val="0.2010107971513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99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Percentiles!$C$117:$E$117</c:f>
              <c:numCache>
                <c:formatCode>0.000</c:formatCode>
                <c:ptCount val="3"/>
                <c:pt idx="0">
                  <c:v>0.0</c:v>
                </c:pt>
                <c:pt idx="1">
                  <c:v>650.8888192509182</c:v>
                </c:pt>
                <c:pt idx="2">
                  <c:v>6456.612082616587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Percentiles!$A$120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D9D9"/>
              </a:solidFill>
              <a:ln>
                <a:solidFill>
                  <a:srgbClr val="C0C0C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0C0C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2777509800058"/>
                  <c:y val="0.1897620565966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0C0C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Percentiles!$C$120:$E$120</c:f>
              <c:numCache>
                <c:formatCode>0.000</c:formatCode>
                <c:ptCount val="3"/>
                <c:pt idx="0">
                  <c:v>0.0</c:v>
                </c:pt>
                <c:pt idx="1">
                  <c:v>1025.021762599871</c:v>
                </c:pt>
                <c:pt idx="2">
                  <c:v>1473.981294618615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5695448"/>
        <c:axId val="-2075692552"/>
      </c:scatterChart>
      <c:valAx>
        <c:axId val="-2075702408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75699064"/>
        <c:crosses val="autoZero"/>
        <c:crossBetween val="midCat"/>
      </c:valAx>
      <c:valAx>
        <c:axId val="-2075699064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ysDash"/>
            </a:ln>
          </c:spPr>
        </c:minorGridlines>
        <c:numFmt formatCode="0.000" sourceLinked="1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75702408"/>
        <c:crosses val="autoZero"/>
        <c:crossBetween val="midCat"/>
      </c:valAx>
      <c:valAx>
        <c:axId val="-2075695448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one"/>
        <c:crossAx val="-2075692552"/>
        <c:crosses val="autoZero"/>
        <c:crossBetween val="midCat"/>
      </c:valAx>
      <c:valAx>
        <c:axId val="-2075692552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75695448"/>
        <c:crosses val="max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0000651822496"/>
          <c:y val="0.0385852090032154"/>
          <c:w val="0.981788861657194"/>
          <c:h val="0.94212319923032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Percentiles!$A$59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Percentiles!$F$59:$DA$59</c:f>
              <c:numCache>
                <c:formatCode>0</c:formatCode>
                <c:ptCount val="100"/>
                <c:pt idx="0">
                  <c:v>1471.286595974585</c:v>
                </c:pt>
                <c:pt idx="1">
                  <c:v>1471.286595974585</c:v>
                </c:pt>
                <c:pt idx="2">
                  <c:v>1471.286595974585</c:v>
                </c:pt>
                <c:pt idx="3">
                  <c:v>1471.286595974585</c:v>
                </c:pt>
                <c:pt idx="4">
                  <c:v>1471.286595974585</c:v>
                </c:pt>
                <c:pt idx="5">
                  <c:v>1471.286595974585</c:v>
                </c:pt>
                <c:pt idx="6">
                  <c:v>1471.286595974585</c:v>
                </c:pt>
                <c:pt idx="7">
                  <c:v>1471.286595974585</c:v>
                </c:pt>
                <c:pt idx="8">
                  <c:v>1471.286595974585</c:v>
                </c:pt>
                <c:pt idx="9">
                  <c:v>1471.286595974585</c:v>
                </c:pt>
                <c:pt idx="10">
                  <c:v>1471.286595974585</c:v>
                </c:pt>
                <c:pt idx="11">
                  <c:v>1471.286595974585</c:v>
                </c:pt>
                <c:pt idx="12">
                  <c:v>1471.286595974585</c:v>
                </c:pt>
                <c:pt idx="13">
                  <c:v>1471.286595974585</c:v>
                </c:pt>
                <c:pt idx="14">
                  <c:v>1471.286595974585</c:v>
                </c:pt>
                <c:pt idx="15">
                  <c:v>1471.286595974585</c:v>
                </c:pt>
                <c:pt idx="16">
                  <c:v>1471.286595974585</c:v>
                </c:pt>
                <c:pt idx="17">
                  <c:v>1471.286595974585</c:v>
                </c:pt>
                <c:pt idx="18">
                  <c:v>1471.286595974585</c:v>
                </c:pt>
                <c:pt idx="19">
                  <c:v>1471.286595974585</c:v>
                </c:pt>
                <c:pt idx="20">
                  <c:v>1471.286595974585</c:v>
                </c:pt>
                <c:pt idx="21">
                  <c:v>1471.286595974585</c:v>
                </c:pt>
                <c:pt idx="22">
                  <c:v>1471.286595974585</c:v>
                </c:pt>
                <c:pt idx="23">
                  <c:v>1471.286595974585</c:v>
                </c:pt>
                <c:pt idx="24">
                  <c:v>1471.286595974585</c:v>
                </c:pt>
                <c:pt idx="25">
                  <c:v>1471.286595974585</c:v>
                </c:pt>
                <c:pt idx="26">
                  <c:v>1539.849652256265</c:v>
                </c:pt>
                <c:pt idx="27">
                  <c:v>1608.412708537946</c:v>
                </c:pt>
                <c:pt idx="28">
                  <c:v>1676.975764819626</c:v>
                </c:pt>
                <c:pt idx="29">
                  <c:v>1745.538821101306</c:v>
                </c:pt>
                <c:pt idx="30">
                  <c:v>1814.101877382987</c:v>
                </c:pt>
                <c:pt idx="31">
                  <c:v>1882.664933664667</c:v>
                </c:pt>
                <c:pt idx="32">
                  <c:v>1951.227989946348</c:v>
                </c:pt>
                <c:pt idx="33">
                  <c:v>2019.791046228028</c:v>
                </c:pt>
                <c:pt idx="34">
                  <c:v>2088.354102509708</c:v>
                </c:pt>
                <c:pt idx="35">
                  <c:v>2156.917158791388</c:v>
                </c:pt>
                <c:pt idx="36">
                  <c:v>2225.48021507307</c:v>
                </c:pt>
                <c:pt idx="37">
                  <c:v>2294.04327135475</c:v>
                </c:pt>
                <c:pt idx="38">
                  <c:v>2362.60632763643</c:v>
                </c:pt>
                <c:pt idx="39">
                  <c:v>2431.169383918111</c:v>
                </c:pt>
                <c:pt idx="40">
                  <c:v>2499.732440199791</c:v>
                </c:pt>
                <c:pt idx="41">
                  <c:v>2568.295496481472</c:v>
                </c:pt>
                <c:pt idx="42">
                  <c:v>2636.858552763152</c:v>
                </c:pt>
                <c:pt idx="43">
                  <c:v>2705.421609044833</c:v>
                </c:pt>
                <c:pt idx="44">
                  <c:v>2773.984665326513</c:v>
                </c:pt>
                <c:pt idx="45">
                  <c:v>2842.547721608194</c:v>
                </c:pt>
                <c:pt idx="46">
                  <c:v>2911.110777889874</c:v>
                </c:pt>
                <c:pt idx="47">
                  <c:v>2979.673834171554</c:v>
                </c:pt>
                <c:pt idx="48">
                  <c:v>3048.236890453235</c:v>
                </c:pt>
                <c:pt idx="49">
                  <c:v>3116.799946734915</c:v>
                </c:pt>
                <c:pt idx="50">
                  <c:v>3185.363003016595</c:v>
                </c:pt>
                <c:pt idx="51">
                  <c:v>3253.926059298276</c:v>
                </c:pt>
                <c:pt idx="52">
                  <c:v>3322.489115579956</c:v>
                </c:pt>
                <c:pt idx="53">
                  <c:v>3391.052171861637</c:v>
                </c:pt>
                <c:pt idx="54">
                  <c:v>3459.615228143317</c:v>
                </c:pt>
                <c:pt idx="55">
                  <c:v>3528.178284424997</c:v>
                </c:pt>
                <c:pt idx="56">
                  <c:v>3596.741340706678</c:v>
                </c:pt>
                <c:pt idx="57">
                  <c:v>3665.304396988358</c:v>
                </c:pt>
                <c:pt idx="58">
                  <c:v>3733.867453270038</c:v>
                </c:pt>
                <c:pt idx="59">
                  <c:v>3802.43050955172</c:v>
                </c:pt>
                <c:pt idx="60">
                  <c:v>3870.9935658334</c:v>
                </c:pt>
                <c:pt idx="61">
                  <c:v>3939.55662211508</c:v>
                </c:pt>
                <c:pt idx="62">
                  <c:v>4008.119678396761</c:v>
                </c:pt>
                <c:pt idx="63">
                  <c:v>4034.500708130903</c:v>
                </c:pt>
                <c:pt idx="64">
                  <c:v>4018.699711317507</c:v>
                </c:pt>
                <c:pt idx="65">
                  <c:v>4002.89871450411</c:v>
                </c:pt>
                <c:pt idx="66">
                  <c:v>3987.097717690714</c:v>
                </c:pt>
                <c:pt idx="67">
                  <c:v>3971.296720877318</c:v>
                </c:pt>
                <c:pt idx="68">
                  <c:v>3955.495724063922</c:v>
                </c:pt>
                <c:pt idx="69">
                  <c:v>3939.694727250525</c:v>
                </c:pt>
                <c:pt idx="70">
                  <c:v>3923.89373043713</c:v>
                </c:pt>
                <c:pt idx="71">
                  <c:v>3908.092733623733</c:v>
                </c:pt>
                <c:pt idx="72">
                  <c:v>3892.291736810336</c:v>
                </c:pt>
                <c:pt idx="73">
                  <c:v>3876.490739996941</c:v>
                </c:pt>
                <c:pt idx="74">
                  <c:v>3860.689743183544</c:v>
                </c:pt>
                <c:pt idx="75">
                  <c:v>3844.888746370148</c:v>
                </c:pt>
                <c:pt idx="76">
                  <c:v>3829.087749556752</c:v>
                </c:pt>
                <c:pt idx="77">
                  <c:v>3813.286752743355</c:v>
                </c:pt>
                <c:pt idx="78">
                  <c:v>3797.485755929959</c:v>
                </c:pt>
                <c:pt idx="79">
                  <c:v>3781.684759116563</c:v>
                </c:pt>
                <c:pt idx="80">
                  <c:v>3765.883762303167</c:v>
                </c:pt>
                <c:pt idx="81">
                  <c:v>3750.082765489771</c:v>
                </c:pt>
                <c:pt idx="82">
                  <c:v>3734.281768676375</c:v>
                </c:pt>
                <c:pt idx="83">
                  <c:v>3681.719740489678</c:v>
                </c:pt>
                <c:pt idx="84">
                  <c:v>3592.396680929682</c:v>
                </c:pt>
                <c:pt idx="85">
                  <c:v>3503.073621369685</c:v>
                </c:pt>
                <c:pt idx="86">
                  <c:v>3413.750561809689</c:v>
                </c:pt>
                <c:pt idx="87">
                  <c:v>3324.427502249693</c:v>
                </c:pt>
                <c:pt idx="88">
                  <c:v>3235.104442689696</c:v>
                </c:pt>
                <c:pt idx="89">
                  <c:v>3145.7813831297</c:v>
                </c:pt>
                <c:pt idx="90">
                  <c:v>3056.458323569704</c:v>
                </c:pt>
                <c:pt idx="91">
                  <c:v>2967.135264009707</c:v>
                </c:pt>
                <c:pt idx="92">
                  <c:v>2877.812204449711</c:v>
                </c:pt>
                <c:pt idx="93">
                  <c:v>2788.489144889715</c:v>
                </c:pt>
                <c:pt idx="94">
                  <c:v>2699.166085329719</c:v>
                </c:pt>
                <c:pt idx="95">
                  <c:v>2609.843025769722</c:v>
                </c:pt>
                <c:pt idx="96">
                  <c:v>2716.203025769722</c:v>
                </c:pt>
                <c:pt idx="97">
                  <c:v>2822.563025769723</c:v>
                </c:pt>
                <c:pt idx="98">
                  <c:v>2928.923025769723</c:v>
                </c:pt>
                <c:pt idx="99">
                  <c:v>3035.283025769722</c:v>
                </c:pt>
              </c:numCache>
            </c:numRef>
          </c:val>
        </c:ser>
        <c:ser>
          <c:idx val="1"/>
          <c:order val="1"/>
          <c:tx>
            <c:strRef>
              <c:f>Percentiles!$A$60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Percentiles!$F$60:$DA$60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66.17084934116946</c:v>
                </c:pt>
                <c:pt idx="27">
                  <c:v>132.341698682339</c:v>
                </c:pt>
                <c:pt idx="28">
                  <c:v>198.5125480235084</c:v>
                </c:pt>
                <c:pt idx="29">
                  <c:v>264.6833973646778</c:v>
                </c:pt>
                <c:pt idx="30">
                  <c:v>330.8542467058472</c:v>
                </c:pt>
                <c:pt idx="31">
                  <c:v>397.0250960470167</c:v>
                </c:pt>
                <c:pt idx="32">
                  <c:v>463.1959453881862</c:v>
                </c:pt>
                <c:pt idx="33">
                  <c:v>529.3667947293557</c:v>
                </c:pt>
                <c:pt idx="34">
                  <c:v>595.5376440705252</c:v>
                </c:pt>
                <c:pt idx="35">
                  <c:v>661.7084934116945</c:v>
                </c:pt>
                <c:pt idx="36">
                  <c:v>727.879342752864</c:v>
                </c:pt>
                <c:pt idx="37">
                  <c:v>794.0501920940335</c:v>
                </c:pt>
                <c:pt idx="38">
                  <c:v>860.221041435203</c:v>
                </c:pt>
                <c:pt idx="39">
                  <c:v>926.3918907763724</c:v>
                </c:pt>
                <c:pt idx="40">
                  <c:v>992.5627401175418</c:v>
                </c:pt>
                <c:pt idx="41">
                  <c:v>1058.733589458711</c:v>
                </c:pt>
                <c:pt idx="42">
                  <c:v>1124.904438799881</c:v>
                </c:pt>
                <c:pt idx="43">
                  <c:v>1191.07528814105</c:v>
                </c:pt>
                <c:pt idx="44">
                  <c:v>1257.24613748222</c:v>
                </c:pt>
                <c:pt idx="45">
                  <c:v>1323.41698682339</c:v>
                </c:pt>
                <c:pt idx="46">
                  <c:v>1389.587836164559</c:v>
                </c:pt>
                <c:pt idx="47">
                  <c:v>1455.758685505728</c:v>
                </c:pt>
                <c:pt idx="48">
                  <c:v>1521.929534846897</c:v>
                </c:pt>
                <c:pt idx="49">
                  <c:v>1588.100384188067</c:v>
                </c:pt>
                <c:pt idx="50">
                  <c:v>1654.271233529236</c:v>
                </c:pt>
                <c:pt idx="51">
                  <c:v>1720.442082870406</c:v>
                </c:pt>
                <c:pt idx="52">
                  <c:v>1786.612932211575</c:v>
                </c:pt>
                <c:pt idx="53">
                  <c:v>1852.783781552745</c:v>
                </c:pt>
                <c:pt idx="54">
                  <c:v>1918.954630893914</c:v>
                </c:pt>
                <c:pt idx="55">
                  <c:v>1985.125480235084</c:v>
                </c:pt>
                <c:pt idx="56">
                  <c:v>2051.296329576253</c:v>
                </c:pt>
                <c:pt idx="57">
                  <c:v>2117.467178917423</c:v>
                </c:pt>
                <c:pt idx="58">
                  <c:v>2183.638028258592</c:v>
                </c:pt>
                <c:pt idx="59">
                  <c:v>2249.808877599762</c:v>
                </c:pt>
                <c:pt idx="60">
                  <c:v>2315.979726940931</c:v>
                </c:pt>
                <c:pt idx="61">
                  <c:v>2382.1505762821</c:v>
                </c:pt>
                <c:pt idx="62">
                  <c:v>2448.32142562327</c:v>
                </c:pt>
                <c:pt idx="63">
                  <c:v>3365.381347435973</c:v>
                </c:pt>
                <c:pt idx="64">
                  <c:v>5133.330341720209</c:v>
                </c:pt>
                <c:pt idx="65">
                  <c:v>6901.279336004445</c:v>
                </c:pt>
                <c:pt idx="66">
                  <c:v>8669.228330288683</c:v>
                </c:pt>
                <c:pt idx="67">
                  <c:v>10437.17732457292</c:v>
                </c:pt>
                <c:pt idx="68">
                  <c:v>12205.12631885715</c:v>
                </c:pt>
                <c:pt idx="69">
                  <c:v>13973.07531314139</c:v>
                </c:pt>
                <c:pt idx="70">
                  <c:v>15741.02430742563</c:v>
                </c:pt>
                <c:pt idx="71">
                  <c:v>17508.97330170986</c:v>
                </c:pt>
                <c:pt idx="72">
                  <c:v>19276.9222959941</c:v>
                </c:pt>
                <c:pt idx="73">
                  <c:v>21044.87129027833</c:v>
                </c:pt>
                <c:pt idx="74">
                  <c:v>22812.82028456257</c:v>
                </c:pt>
                <c:pt idx="75">
                  <c:v>24580.76927884681</c:v>
                </c:pt>
                <c:pt idx="76">
                  <c:v>26348.71827313104</c:v>
                </c:pt>
                <c:pt idx="77">
                  <c:v>28116.66726741528</c:v>
                </c:pt>
                <c:pt idx="78">
                  <c:v>29884.61626169952</c:v>
                </c:pt>
                <c:pt idx="79">
                  <c:v>31652.56525598375</c:v>
                </c:pt>
                <c:pt idx="80">
                  <c:v>33420.51425026798</c:v>
                </c:pt>
                <c:pt idx="81">
                  <c:v>35188.46324455223</c:v>
                </c:pt>
                <c:pt idx="82">
                  <c:v>36956.41223883646</c:v>
                </c:pt>
                <c:pt idx="83">
                  <c:v>36926.61400201288</c:v>
                </c:pt>
                <c:pt idx="84">
                  <c:v>35099.06853408148</c:v>
                </c:pt>
                <c:pt idx="85">
                  <c:v>33271.52306615009</c:v>
                </c:pt>
                <c:pt idx="86">
                  <c:v>31443.9775982187</c:v>
                </c:pt>
                <c:pt idx="87">
                  <c:v>29616.4321302873</c:v>
                </c:pt>
                <c:pt idx="88">
                  <c:v>27788.8866623559</c:v>
                </c:pt>
                <c:pt idx="89">
                  <c:v>25961.3411944245</c:v>
                </c:pt>
                <c:pt idx="90">
                  <c:v>24133.7957264931</c:v>
                </c:pt>
                <c:pt idx="91">
                  <c:v>22306.2502585617</c:v>
                </c:pt>
                <c:pt idx="92">
                  <c:v>20478.70479063031</c:v>
                </c:pt>
                <c:pt idx="93">
                  <c:v>18651.15932269891</c:v>
                </c:pt>
                <c:pt idx="94">
                  <c:v>16823.61385476751</c:v>
                </c:pt>
                <c:pt idx="95">
                  <c:v>14996.06838683612</c:v>
                </c:pt>
                <c:pt idx="96">
                  <c:v>15720.92838683611</c:v>
                </c:pt>
                <c:pt idx="97">
                  <c:v>16445.78838683611</c:v>
                </c:pt>
                <c:pt idx="98">
                  <c:v>17170.64838683611</c:v>
                </c:pt>
                <c:pt idx="99">
                  <c:v>17895.50838683611</c:v>
                </c:pt>
              </c:numCache>
            </c:numRef>
          </c:val>
        </c:ser>
        <c:ser>
          <c:idx val="2"/>
          <c:order val="2"/>
          <c:tx>
            <c:strRef>
              <c:f>Percentiles!$A$61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Percentiles!$F$61:$DA$61</c:f>
              <c:numCache>
                <c:formatCode>0</c:formatCode>
                <c:ptCount val="100"/>
                <c:pt idx="0">
                  <c:v>178.1605394978578</c:v>
                </c:pt>
                <c:pt idx="1">
                  <c:v>178.1605394978578</c:v>
                </c:pt>
                <c:pt idx="2">
                  <c:v>178.1605394978578</c:v>
                </c:pt>
                <c:pt idx="3">
                  <c:v>178.1605394978578</c:v>
                </c:pt>
                <c:pt idx="4">
                  <c:v>178.1605394978578</c:v>
                </c:pt>
                <c:pt idx="5">
                  <c:v>178.1605394978578</c:v>
                </c:pt>
                <c:pt idx="6">
                  <c:v>178.1605394978578</c:v>
                </c:pt>
                <c:pt idx="7">
                  <c:v>178.1605394978578</c:v>
                </c:pt>
                <c:pt idx="8">
                  <c:v>178.1605394978578</c:v>
                </c:pt>
                <c:pt idx="9">
                  <c:v>178.1605394978578</c:v>
                </c:pt>
                <c:pt idx="10">
                  <c:v>178.1605394978578</c:v>
                </c:pt>
                <c:pt idx="11">
                  <c:v>178.1605394978578</c:v>
                </c:pt>
                <c:pt idx="12">
                  <c:v>178.1605394978578</c:v>
                </c:pt>
                <c:pt idx="13">
                  <c:v>178.1605394978578</c:v>
                </c:pt>
                <c:pt idx="14">
                  <c:v>178.1605394978578</c:v>
                </c:pt>
                <c:pt idx="15">
                  <c:v>178.1605394978578</c:v>
                </c:pt>
                <c:pt idx="16">
                  <c:v>178.1605394978578</c:v>
                </c:pt>
                <c:pt idx="17">
                  <c:v>178.1605394978578</c:v>
                </c:pt>
                <c:pt idx="18">
                  <c:v>178.1605394978578</c:v>
                </c:pt>
                <c:pt idx="19">
                  <c:v>178.1605394978578</c:v>
                </c:pt>
                <c:pt idx="20">
                  <c:v>178.1605394978578</c:v>
                </c:pt>
                <c:pt idx="21">
                  <c:v>178.1605394978578</c:v>
                </c:pt>
                <c:pt idx="22">
                  <c:v>178.1605394978578</c:v>
                </c:pt>
                <c:pt idx="23">
                  <c:v>178.1605394978578</c:v>
                </c:pt>
                <c:pt idx="24">
                  <c:v>178.1605394978578</c:v>
                </c:pt>
                <c:pt idx="25">
                  <c:v>178.1605394978578</c:v>
                </c:pt>
                <c:pt idx="26">
                  <c:v>196.1482668101061</c:v>
                </c:pt>
                <c:pt idx="27">
                  <c:v>214.1359941223543</c:v>
                </c:pt>
                <c:pt idx="28">
                  <c:v>232.1237214346025</c:v>
                </c:pt>
                <c:pt idx="29">
                  <c:v>250.1114487468508</c:v>
                </c:pt>
                <c:pt idx="30">
                  <c:v>268.099176059099</c:v>
                </c:pt>
                <c:pt idx="31">
                  <c:v>286.0869033713473</c:v>
                </c:pt>
                <c:pt idx="32">
                  <c:v>304.0746306835955</c:v>
                </c:pt>
                <c:pt idx="33">
                  <c:v>322.0623579958437</c:v>
                </c:pt>
                <c:pt idx="34">
                  <c:v>340.050085308092</c:v>
                </c:pt>
                <c:pt idx="35">
                  <c:v>358.0378126203402</c:v>
                </c:pt>
                <c:pt idx="36">
                  <c:v>376.0255399325885</c:v>
                </c:pt>
                <c:pt idx="37">
                  <c:v>394.0132672448368</c:v>
                </c:pt>
                <c:pt idx="38">
                  <c:v>412.000994557085</c:v>
                </c:pt>
                <c:pt idx="39">
                  <c:v>429.9887218693332</c:v>
                </c:pt>
                <c:pt idx="40">
                  <c:v>447.9764491815815</c:v>
                </c:pt>
                <c:pt idx="41">
                  <c:v>465.9641764938297</c:v>
                </c:pt>
                <c:pt idx="42">
                  <c:v>483.951903806078</c:v>
                </c:pt>
                <c:pt idx="43">
                  <c:v>501.9396311183262</c:v>
                </c:pt>
                <c:pt idx="44">
                  <c:v>519.9273584305745</c:v>
                </c:pt>
                <c:pt idx="45">
                  <c:v>537.9150857428226</c:v>
                </c:pt>
                <c:pt idx="46">
                  <c:v>555.902813055071</c:v>
                </c:pt>
                <c:pt idx="47">
                  <c:v>573.890540367319</c:v>
                </c:pt>
                <c:pt idx="48">
                  <c:v>591.8782676795674</c:v>
                </c:pt>
                <c:pt idx="49">
                  <c:v>609.8659949918157</c:v>
                </c:pt>
                <c:pt idx="50">
                  <c:v>627.8537223040639</c:v>
                </c:pt>
                <c:pt idx="51">
                  <c:v>645.8414496163121</c:v>
                </c:pt>
                <c:pt idx="52">
                  <c:v>663.8291769285604</c:v>
                </c:pt>
                <c:pt idx="53">
                  <c:v>681.8169042408086</c:v>
                </c:pt>
                <c:pt idx="54">
                  <c:v>699.8046315530568</c:v>
                </c:pt>
                <c:pt idx="55">
                  <c:v>717.7923588653051</c:v>
                </c:pt>
                <c:pt idx="56">
                  <c:v>735.7800861775533</c:v>
                </c:pt>
                <c:pt idx="57">
                  <c:v>753.7678134898016</c:v>
                </c:pt>
                <c:pt idx="58">
                  <c:v>771.7555408020498</c:v>
                </c:pt>
                <c:pt idx="59">
                  <c:v>789.7432681142981</c:v>
                </c:pt>
                <c:pt idx="60">
                  <c:v>807.7309954265463</c:v>
                </c:pt>
                <c:pt idx="61">
                  <c:v>825.7187227387945</c:v>
                </c:pt>
                <c:pt idx="62">
                  <c:v>843.7064500510427</c:v>
                </c:pt>
                <c:pt idx="63">
                  <c:v>893.2821031728622</c:v>
                </c:pt>
                <c:pt idx="64">
                  <c:v>974.4456821042529</c:v>
                </c:pt>
                <c:pt idx="65">
                  <c:v>1055.609261035643</c:v>
                </c:pt>
                <c:pt idx="66">
                  <c:v>1136.772839967034</c:v>
                </c:pt>
                <c:pt idx="67">
                  <c:v>1217.936418898425</c:v>
                </c:pt>
                <c:pt idx="68">
                  <c:v>1299.099997829815</c:v>
                </c:pt>
                <c:pt idx="69">
                  <c:v>1380.263576761206</c:v>
                </c:pt>
                <c:pt idx="70">
                  <c:v>1461.427155692596</c:v>
                </c:pt>
                <c:pt idx="71">
                  <c:v>1542.590734623987</c:v>
                </c:pt>
                <c:pt idx="72">
                  <c:v>1623.754313555378</c:v>
                </c:pt>
                <c:pt idx="73">
                  <c:v>1704.917892486768</c:v>
                </c:pt>
                <c:pt idx="74">
                  <c:v>1786.081471418159</c:v>
                </c:pt>
                <c:pt idx="75">
                  <c:v>1867.24505034955</c:v>
                </c:pt>
                <c:pt idx="76">
                  <c:v>1948.40862928094</c:v>
                </c:pt>
                <c:pt idx="77">
                  <c:v>2029.57220821233</c:v>
                </c:pt>
                <c:pt idx="78">
                  <c:v>2110.735787143721</c:v>
                </c:pt>
                <c:pt idx="79">
                  <c:v>2191.899366075111</c:v>
                </c:pt>
                <c:pt idx="80">
                  <c:v>2273.062945006503</c:v>
                </c:pt>
                <c:pt idx="81">
                  <c:v>2354.226523937893</c:v>
                </c:pt>
                <c:pt idx="82">
                  <c:v>2435.390102869283</c:v>
                </c:pt>
                <c:pt idx="83">
                  <c:v>2498.444348356097</c:v>
                </c:pt>
                <c:pt idx="84">
                  <c:v>2543.389260398334</c:v>
                </c:pt>
                <c:pt idx="85">
                  <c:v>2588.334172440571</c:v>
                </c:pt>
                <c:pt idx="86">
                  <c:v>2633.279084482809</c:v>
                </c:pt>
                <c:pt idx="87">
                  <c:v>2678.223996525046</c:v>
                </c:pt>
                <c:pt idx="88">
                  <c:v>2723.168908567283</c:v>
                </c:pt>
                <c:pt idx="89">
                  <c:v>2768.113820609521</c:v>
                </c:pt>
                <c:pt idx="90">
                  <c:v>2813.058732651758</c:v>
                </c:pt>
                <c:pt idx="91">
                  <c:v>2858.003644693995</c:v>
                </c:pt>
                <c:pt idx="92">
                  <c:v>2902.948556736232</c:v>
                </c:pt>
                <c:pt idx="93">
                  <c:v>2947.89346877847</c:v>
                </c:pt>
                <c:pt idx="94">
                  <c:v>2992.838380820706</c:v>
                </c:pt>
                <c:pt idx="95">
                  <c:v>3037.783292862944</c:v>
                </c:pt>
                <c:pt idx="96">
                  <c:v>3046.214292862944</c:v>
                </c:pt>
                <c:pt idx="97">
                  <c:v>3054.645292862944</c:v>
                </c:pt>
                <c:pt idx="98">
                  <c:v>3063.076292862944</c:v>
                </c:pt>
                <c:pt idx="99">
                  <c:v>3071.507292862944</c:v>
                </c:pt>
              </c:numCache>
            </c:numRef>
          </c:val>
        </c:ser>
        <c:ser>
          <c:idx val="3"/>
          <c:order val="3"/>
          <c:tx>
            <c:strRef>
              <c:f>Percentiles!$A$62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Percentiles!$F$62:$DA$62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Percentiles!$A$63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Percentiles!$F$63:$DA$63</c:f>
              <c:numCache>
                <c:formatCode>0</c:formatCode>
                <c:ptCount val="100"/>
                <c:pt idx="0">
                  <c:v>1921.915804874758</c:v>
                </c:pt>
                <c:pt idx="1">
                  <c:v>1921.915804874758</c:v>
                </c:pt>
                <c:pt idx="2">
                  <c:v>1921.915804874758</c:v>
                </c:pt>
                <c:pt idx="3">
                  <c:v>1921.915804874758</c:v>
                </c:pt>
                <c:pt idx="4">
                  <c:v>1921.915804874758</c:v>
                </c:pt>
                <c:pt idx="5">
                  <c:v>1921.915804874758</c:v>
                </c:pt>
                <c:pt idx="6">
                  <c:v>1921.915804874758</c:v>
                </c:pt>
                <c:pt idx="7">
                  <c:v>1921.915804874758</c:v>
                </c:pt>
                <c:pt idx="8">
                  <c:v>1921.915804874758</c:v>
                </c:pt>
                <c:pt idx="9">
                  <c:v>1921.915804874758</c:v>
                </c:pt>
                <c:pt idx="10">
                  <c:v>1921.915804874758</c:v>
                </c:pt>
                <c:pt idx="11">
                  <c:v>1921.915804874758</c:v>
                </c:pt>
                <c:pt idx="12">
                  <c:v>1921.915804874758</c:v>
                </c:pt>
                <c:pt idx="13">
                  <c:v>1921.915804874758</c:v>
                </c:pt>
                <c:pt idx="14">
                  <c:v>1921.915804874758</c:v>
                </c:pt>
                <c:pt idx="15">
                  <c:v>1921.915804874758</c:v>
                </c:pt>
                <c:pt idx="16">
                  <c:v>1921.915804874758</c:v>
                </c:pt>
                <c:pt idx="17">
                  <c:v>1921.915804874758</c:v>
                </c:pt>
                <c:pt idx="18">
                  <c:v>1921.915804874758</c:v>
                </c:pt>
                <c:pt idx="19">
                  <c:v>1921.915804874758</c:v>
                </c:pt>
                <c:pt idx="20">
                  <c:v>1921.915804874758</c:v>
                </c:pt>
                <c:pt idx="21">
                  <c:v>1921.915804874758</c:v>
                </c:pt>
                <c:pt idx="22">
                  <c:v>1921.915804874758</c:v>
                </c:pt>
                <c:pt idx="23">
                  <c:v>1921.915804874758</c:v>
                </c:pt>
                <c:pt idx="24">
                  <c:v>1921.915804874758</c:v>
                </c:pt>
                <c:pt idx="25">
                  <c:v>1921.915804874758</c:v>
                </c:pt>
                <c:pt idx="26">
                  <c:v>2259.31880173055</c:v>
                </c:pt>
                <c:pt idx="27">
                  <c:v>2596.72179858634</c:v>
                </c:pt>
                <c:pt idx="28">
                  <c:v>2934.124795442131</c:v>
                </c:pt>
                <c:pt idx="29">
                  <c:v>3271.527792297922</c:v>
                </c:pt>
                <c:pt idx="30">
                  <c:v>3608.930789153713</c:v>
                </c:pt>
                <c:pt idx="31">
                  <c:v>3946.333786009504</c:v>
                </c:pt>
                <c:pt idx="32">
                  <c:v>4283.736782865295</c:v>
                </c:pt>
                <c:pt idx="33">
                  <c:v>4621.139779721086</c:v>
                </c:pt>
                <c:pt idx="34">
                  <c:v>4958.542776576877</c:v>
                </c:pt>
                <c:pt idx="35">
                  <c:v>5295.945773432668</c:v>
                </c:pt>
                <c:pt idx="36">
                  <c:v>5633.348770288459</c:v>
                </c:pt>
                <c:pt idx="37">
                  <c:v>5970.75176714425</c:v>
                </c:pt>
                <c:pt idx="38">
                  <c:v>6308.15476400004</c:v>
                </c:pt>
                <c:pt idx="39">
                  <c:v>6645.557760855831</c:v>
                </c:pt>
                <c:pt idx="40">
                  <c:v>6982.960757711623</c:v>
                </c:pt>
                <c:pt idx="41">
                  <c:v>7320.363754567413</c:v>
                </c:pt>
                <c:pt idx="42">
                  <c:v>7657.766751423204</c:v>
                </c:pt>
                <c:pt idx="43">
                  <c:v>7995.169748278996</c:v>
                </c:pt>
                <c:pt idx="44">
                  <c:v>8332.572745134786</c:v>
                </c:pt>
                <c:pt idx="45">
                  <c:v>8669.975741990576</c:v>
                </c:pt>
                <c:pt idx="46">
                  <c:v>9007.378738846367</c:v>
                </c:pt>
                <c:pt idx="47">
                  <c:v>9344.78173570216</c:v>
                </c:pt>
                <c:pt idx="48">
                  <c:v>9682.18473255795</c:v>
                </c:pt>
                <c:pt idx="49">
                  <c:v>10019.58772941374</c:v>
                </c:pt>
                <c:pt idx="50">
                  <c:v>10356.99072626953</c:v>
                </c:pt>
                <c:pt idx="51">
                  <c:v>10694.39372312532</c:v>
                </c:pt>
                <c:pt idx="52">
                  <c:v>11031.79671998111</c:v>
                </c:pt>
                <c:pt idx="53">
                  <c:v>11369.1997168369</c:v>
                </c:pt>
                <c:pt idx="54">
                  <c:v>11706.6027136927</c:v>
                </c:pt>
                <c:pt idx="55">
                  <c:v>12044.00571054849</c:v>
                </c:pt>
                <c:pt idx="56">
                  <c:v>12381.40870740428</c:v>
                </c:pt>
                <c:pt idx="57">
                  <c:v>12718.81170426007</c:v>
                </c:pt>
                <c:pt idx="58">
                  <c:v>13056.21470111586</c:v>
                </c:pt>
                <c:pt idx="59">
                  <c:v>13393.61769797165</c:v>
                </c:pt>
                <c:pt idx="60">
                  <c:v>13731.02069482744</c:v>
                </c:pt>
                <c:pt idx="61">
                  <c:v>14068.42369168323</c:v>
                </c:pt>
                <c:pt idx="62">
                  <c:v>14405.82668853902</c:v>
                </c:pt>
                <c:pt idx="63">
                  <c:v>15273.62506099011</c:v>
                </c:pt>
                <c:pt idx="64">
                  <c:v>16671.8188090365</c:v>
                </c:pt>
                <c:pt idx="65">
                  <c:v>18070.01255708288</c:v>
                </c:pt>
                <c:pt idx="66">
                  <c:v>19468.20630512927</c:v>
                </c:pt>
                <c:pt idx="67">
                  <c:v>20866.40005317566</c:v>
                </c:pt>
                <c:pt idx="68">
                  <c:v>22264.59380122204</c:v>
                </c:pt>
                <c:pt idx="69">
                  <c:v>23662.78754926843</c:v>
                </c:pt>
                <c:pt idx="70">
                  <c:v>25060.98129731481</c:v>
                </c:pt>
                <c:pt idx="71">
                  <c:v>26459.1750453612</c:v>
                </c:pt>
                <c:pt idx="72">
                  <c:v>27857.36879340759</c:v>
                </c:pt>
                <c:pt idx="73">
                  <c:v>29255.56254145398</c:v>
                </c:pt>
                <c:pt idx="74">
                  <c:v>30653.75628950036</c:v>
                </c:pt>
                <c:pt idx="75">
                  <c:v>32051.95003754675</c:v>
                </c:pt>
                <c:pt idx="76">
                  <c:v>33450.14378559314</c:v>
                </c:pt>
                <c:pt idx="77">
                  <c:v>34848.33753363952</c:v>
                </c:pt>
                <c:pt idx="78">
                  <c:v>36246.53128168591</c:v>
                </c:pt>
                <c:pt idx="79">
                  <c:v>37644.7250297323</c:v>
                </c:pt>
                <c:pt idx="80">
                  <c:v>39042.91877777867</c:v>
                </c:pt>
                <c:pt idx="81">
                  <c:v>40441.11252582507</c:v>
                </c:pt>
                <c:pt idx="82">
                  <c:v>41839.30627387145</c:v>
                </c:pt>
                <c:pt idx="83">
                  <c:v>42795.0856809457</c:v>
                </c:pt>
                <c:pt idx="84">
                  <c:v>43308.4507470478</c:v>
                </c:pt>
                <c:pt idx="85">
                  <c:v>43821.8158131499</c:v>
                </c:pt>
                <c:pt idx="86">
                  <c:v>44335.180879252</c:v>
                </c:pt>
                <c:pt idx="87">
                  <c:v>44848.54594535411</c:v>
                </c:pt>
                <c:pt idx="88">
                  <c:v>45361.91101145621</c:v>
                </c:pt>
                <c:pt idx="89">
                  <c:v>45875.27607755832</c:v>
                </c:pt>
                <c:pt idx="90">
                  <c:v>46388.64114366042</c:v>
                </c:pt>
                <c:pt idx="91">
                  <c:v>46902.00620976252</c:v>
                </c:pt>
                <c:pt idx="92">
                  <c:v>47415.37127586462</c:v>
                </c:pt>
                <c:pt idx="93">
                  <c:v>47928.73634196672</c:v>
                </c:pt>
                <c:pt idx="94">
                  <c:v>48442.10140806883</c:v>
                </c:pt>
                <c:pt idx="95">
                  <c:v>48955.46647417092</c:v>
                </c:pt>
                <c:pt idx="96">
                  <c:v>48955.46647417092</c:v>
                </c:pt>
                <c:pt idx="97">
                  <c:v>48955.46647417092</c:v>
                </c:pt>
                <c:pt idx="98">
                  <c:v>48955.46647417092</c:v>
                </c:pt>
                <c:pt idx="99">
                  <c:v>48955.46647417092</c:v>
                </c:pt>
              </c:numCache>
            </c:numRef>
          </c:val>
        </c:ser>
        <c:ser>
          <c:idx val="5"/>
          <c:order val="5"/>
          <c:tx>
            <c:strRef>
              <c:f>Percentiles!$A$64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Percentiles!$F$64:$DA$64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52.18999999999988</c:v>
                </c:pt>
                <c:pt idx="97">
                  <c:v>104.3799999999998</c:v>
                </c:pt>
                <c:pt idx="98">
                  <c:v>156.5699999999997</c:v>
                </c:pt>
                <c:pt idx="99">
                  <c:v>208.7599999999995</c:v>
                </c:pt>
              </c:numCache>
            </c:numRef>
          </c:val>
        </c:ser>
        <c:ser>
          <c:idx val="6"/>
          <c:order val="6"/>
          <c:tx>
            <c:strRef>
              <c:f>Percentiles!$A$65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Percentiles!$F$65:$DA$65</c:f>
              <c:numCache>
                <c:formatCode>0</c:formatCode>
                <c:ptCount val="100"/>
                <c:pt idx="0">
                  <c:v>11104.40242816527</c:v>
                </c:pt>
                <c:pt idx="1">
                  <c:v>11104.40242816527</c:v>
                </c:pt>
                <c:pt idx="2">
                  <c:v>11104.40242816527</c:v>
                </c:pt>
                <c:pt idx="3">
                  <c:v>11104.40242816527</c:v>
                </c:pt>
                <c:pt idx="4">
                  <c:v>11104.40242816527</c:v>
                </c:pt>
                <c:pt idx="5">
                  <c:v>11104.40242816527</c:v>
                </c:pt>
                <c:pt idx="6">
                  <c:v>11104.40242816527</c:v>
                </c:pt>
                <c:pt idx="7">
                  <c:v>11104.40242816527</c:v>
                </c:pt>
                <c:pt idx="8">
                  <c:v>11104.40242816527</c:v>
                </c:pt>
                <c:pt idx="9">
                  <c:v>11104.40242816527</c:v>
                </c:pt>
                <c:pt idx="10">
                  <c:v>11104.40242816527</c:v>
                </c:pt>
                <c:pt idx="11">
                  <c:v>11104.40242816527</c:v>
                </c:pt>
                <c:pt idx="12">
                  <c:v>11104.40242816527</c:v>
                </c:pt>
                <c:pt idx="13">
                  <c:v>11104.40242816527</c:v>
                </c:pt>
                <c:pt idx="14">
                  <c:v>11104.40242816527</c:v>
                </c:pt>
                <c:pt idx="15">
                  <c:v>11104.40242816527</c:v>
                </c:pt>
                <c:pt idx="16">
                  <c:v>11104.40242816527</c:v>
                </c:pt>
                <c:pt idx="17">
                  <c:v>11104.40242816527</c:v>
                </c:pt>
                <c:pt idx="18">
                  <c:v>11104.40242816527</c:v>
                </c:pt>
                <c:pt idx="19">
                  <c:v>11104.40242816527</c:v>
                </c:pt>
                <c:pt idx="20">
                  <c:v>11104.40242816527</c:v>
                </c:pt>
                <c:pt idx="21">
                  <c:v>11104.40242816527</c:v>
                </c:pt>
                <c:pt idx="22">
                  <c:v>11104.40242816527</c:v>
                </c:pt>
                <c:pt idx="23">
                  <c:v>11104.40242816527</c:v>
                </c:pt>
                <c:pt idx="24">
                  <c:v>11104.40242816527</c:v>
                </c:pt>
                <c:pt idx="25">
                  <c:v>11104.40242816527</c:v>
                </c:pt>
                <c:pt idx="26">
                  <c:v>11006.00033895568</c:v>
                </c:pt>
                <c:pt idx="27">
                  <c:v>10907.59824974609</c:v>
                </c:pt>
                <c:pt idx="28">
                  <c:v>10809.19616053651</c:v>
                </c:pt>
                <c:pt idx="29">
                  <c:v>10710.79407132692</c:v>
                </c:pt>
                <c:pt idx="30">
                  <c:v>10612.39198211733</c:v>
                </c:pt>
                <c:pt idx="31">
                  <c:v>10513.98989290774</c:v>
                </c:pt>
                <c:pt idx="32">
                  <c:v>10415.58780369816</c:v>
                </c:pt>
                <c:pt idx="33">
                  <c:v>10317.18571448857</c:v>
                </c:pt>
                <c:pt idx="34">
                  <c:v>10218.78362527898</c:v>
                </c:pt>
                <c:pt idx="35">
                  <c:v>10120.38153606939</c:v>
                </c:pt>
                <c:pt idx="36">
                  <c:v>10021.9794468598</c:v>
                </c:pt>
                <c:pt idx="37">
                  <c:v>9923.577357650218</c:v>
                </c:pt>
                <c:pt idx="38">
                  <c:v>9825.175268440631</c:v>
                </c:pt>
                <c:pt idx="39">
                  <c:v>9726.773179231042</c:v>
                </c:pt>
                <c:pt idx="40">
                  <c:v>9628.371090021456</c:v>
                </c:pt>
                <c:pt idx="41">
                  <c:v>9529.969000811866</c:v>
                </c:pt>
                <c:pt idx="42">
                  <c:v>9431.56691160228</c:v>
                </c:pt>
                <c:pt idx="43">
                  <c:v>9333.164822392693</c:v>
                </c:pt>
                <c:pt idx="44">
                  <c:v>9234.762733183105</c:v>
                </c:pt>
                <c:pt idx="45">
                  <c:v>9136.360643973518</c:v>
                </c:pt>
                <c:pt idx="46">
                  <c:v>9037.958554763929</c:v>
                </c:pt>
                <c:pt idx="47">
                  <c:v>8939.556465554342</c:v>
                </c:pt>
                <c:pt idx="48">
                  <c:v>8841.154376344755</c:v>
                </c:pt>
                <c:pt idx="49">
                  <c:v>8742.752287135166</c:v>
                </c:pt>
                <c:pt idx="50">
                  <c:v>8644.35019792558</c:v>
                </c:pt>
                <c:pt idx="51">
                  <c:v>8545.94810871599</c:v>
                </c:pt>
                <c:pt idx="52">
                  <c:v>8447.546019506404</c:v>
                </c:pt>
                <c:pt idx="53">
                  <c:v>8349.143930296817</c:v>
                </c:pt>
                <c:pt idx="54">
                  <c:v>8250.741841087228</c:v>
                </c:pt>
                <c:pt idx="55">
                  <c:v>8152.339751877641</c:v>
                </c:pt>
                <c:pt idx="56">
                  <c:v>8053.937662668053</c:v>
                </c:pt>
                <c:pt idx="57">
                  <c:v>7955.535573458466</c:v>
                </c:pt>
                <c:pt idx="58">
                  <c:v>7857.133484248878</c:v>
                </c:pt>
                <c:pt idx="59">
                  <c:v>7758.731395039291</c:v>
                </c:pt>
                <c:pt idx="60">
                  <c:v>7660.329305829703</c:v>
                </c:pt>
                <c:pt idx="61">
                  <c:v>7561.927216620115</c:v>
                </c:pt>
                <c:pt idx="62">
                  <c:v>7463.525127410528</c:v>
                </c:pt>
                <c:pt idx="63">
                  <c:v>8048.983390815488</c:v>
                </c:pt>
                <c:pt idx="64">
                  <c:v>9318.302006834994</c:v>
                </c:pt>
                <c:pt idx="65">
                  <c:v>10587.6206228545</c:v>
                </c:pt>
                <c:pt idx="66">
                  <c:v>11856.93923887401</c:v>
                </c:pt>
                <c:pt idx="67">
                  <c:v>13126.25785489352</c:v>
                </c:pt>
                <c:pt idx="68">
                  <c:v>14395.57647091302</c:v>
                </c:pt>
                <c:pt idx="69">
                  <c:v>15664.89508693253</c:v>
                </c:pt>
                <c:pt idx="70">
                  <c:v>16934.21370295203</c:v>
                </c:pt>
                <c:pt idx="71">
                  <c:v>18203.53231897154</c:v>
                </c:pt>
                <c:pt idx="72">
                  <c:v>19472.85093499105</c:v>
                </c:pt>
                <c:pt idx="73">
                  <c:v>20742.16955101056</c:v>
                </c:pt>
                <c:pt idx="74">
                  <c:v>22011.48816703006</c:v>
                </c:pt>
                <c:pt idx="75">
                  <c:v>23280.80678304957</c:v>
                </c:pt>
                <c:pt idx="76">
                  <c:v>24550.12539906908</c:v>
                </c:pt>
                <c:pt idx="77">
                  <c:v>25819.44401508859</c:v>
                </c:pt>
                <c:pt idx="78">
                  <c:v>27088.7626311081</c:v>
                </c:pt>
                <c:pt idx="79">
                  <c:v>28358.0812471276</c:v>
                </c:pt>
                <c:pt idx="80">
                  <c:v>29627.3998631471</c:v>
                </c:pt>
                <c:pt idx="81">
                  <c:v>30896.71847916661</c:v>
                </c:pt>
                <c:pt idx="82">
                  <c:v>32166.03709518612</c:v>
                </c:pt>
                <c:pt idx="83">
                  <c:v>31488.66854706803</c:v>
                </c:pt>
                <c:pt idx="84">
                  <c:v>28864.61283481237</c:v>
                </c:pt>
                <c:pt idx="85">
                  <c:v>26240.5571225567</c:v>
                </c:pt>
                <c:pt idx="86">
                  <c:v>23616.50141030103</c:v>
                </c:pt>
                <c:pt idx="87">
                  <c:v>20992.44569804535</c:v>
                </c:pt>
                <c:pt idx="88">
                  <c:v>18368.38998578969</c:v>
                </c:pt>
                <c:pt idx="89">
                  <c:v>15744.33427353402</c:v>
                </c:pt>
                <c:pt idx="90">
                  <c:v>13120.27856127835</c:v>
                </c:pt>
                <c:pt idx="91">
                  <c:v>10496.22284902268</c:v>
                </c:pt>
                <c:pt idx="92">
                  <c:v>7872.16713676701</c:v>
                </c:pt>
                <c:pt idx="93">
                  <c:v>5248.111424511338</c:v>
                </c:pt>
                <c:pt idx="94">
                  <c:v>2624.055712255667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Percentiles!$A$66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Percentiles!$F$66:$DA$66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4520.34597306543</c:v>
                </c:pt>
                <c:pt idx="84">
                  <c:v>13561.03791919629</c:v>
                </c:pt>
                <c:pt idx="85">
                  <c:v>22601.72986532716</c:v>
                </c:pt>
                <c:pt idx="86">
                  <c:v>31642.42181145802</c:v>
                </c:pt>
                <c:pt idx="87">
                  <c:v>40683.11375758888</c:v>
                </c:pt>
                <c:pt idx="88">
                  <c:v>49723.80570371974</c:v>
                </c:pt>
                <c:pt idx="89">
                  <c:v>58764.49764985061</c:v>
                </c:pt>
                <c:pt idx="90">
                  <c:v>67805.18959598147</c:v>
                </c:pt>
                <c:pt idx="91">
                  <c:v>76845.88154211233</c:v>
                </c:pt>
                <c:pt idx="92">
                  <c:v>85886.5734882432</c:v>
                </c:pt>
                <c:pt idx="93">
                  <c:v>94927.26543437406</c:v>
                </c:pt>
                <c:pt idx="94">
                  <c:v>103967.9573805049</c:v>
                </c:pt>
                <c:pt idx="95">
                  <c:v>113008.6493266358</c:v>
                </c:pt>
                <c:pt idx="96">
                  <c:v>115680.3493266358</c:v>
                </c:pt>
                <c:pt idx="97">
                  <c:v>118352.0493266358</c:v>
                </c:pt>
                <c:pt idx="98">
                  <c:v>121023.7493266358</c:v>
                </c:pt>
                <c:pt idx="99">
                  <c:v>123695.4493266358</c:v>
                </c:pt>
              </c:numCache>
            </c:numRef>
          </c:val>
        </c:ser>
        <c:ser>
          <c:idx val="8"/>
          <c:order val="8"/>
          <c:tx>
            <c:strRef>
              <c:f>Percentiles!$A$67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Percentiles!$F$67:$DA$67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829.53</c:v>
                </c:pt>
                <c:pt idx="97">
                  <c:v>1659.06</c:v>
                </c:pt>
                <c:pt idx="98">
                  <c:v>2488.59</c:v>
                </c:pt>
                <c:pt idx="99">
                  <c:v>3318.12</c:v>
                </c:pt>
              </c:numCache>
            </c:numRef>
          </c:val>
        </c:ser>
        <c:ser>
          <c:idx val="9"/>
          <c:order val="9"/>
          <c:tx>
            <c:strRef>
              <c:f>Percentiles!$A$68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Percentiles!$F$68:$DA$68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325.4444096254591</c:v>
                </c:pt>
                <c:pt idx="64">
                  <c:v>976.3332288763773</c:v>
                </c:pt>
                <c:pt idx="65">
                  <c:v>1627.222048127296</c:v>
                </c:pt>
                <c:pt idx="66">
                  <c:v>2278.110867378214</c:v>
                </c:pt>
                <c:pt idx="67">
                  <c:v>2928.999686629132</c:v>
                </c:pt>
                <c:pt idx="68">
                  <c:v>3579.88850588005</c:v>
                </c:pt>
                <c:pt idx="69">
                  <c:v>4230.777325130968</c:v>
                </c:pt>
                <c:pt idx="70">
                  <c:v>4881.666144381886</c:v>
                </c:pt>
                <c:pt idx="71">
                  <c:v>5532.554963632805</c:v>
                </c:pt>
                <c:pt idx="72">
                  <c:v>6183.443782883724</c:v>
                </c:pt>
                <c:pt idx="73">
                  <c:v>6834.332602134641</c:v>
                </c:pt>
                <c:pt idx="74">
                  <c:v>7485.22142138556</c:v>
                </c:pt>
                <c:pt idx="75">
                  <c:v>8136.110240636478</c:v>
                </c:pt>
                <c:pt idx="76">
                  <c:v>8786.999059887396</c:v>
                </c:pt>
                <c:pt idx="77">
                  <c:v>9437.887879138314</c:v>
                </c:pt>
                <c:pt idx="78">
                  <c:v>10088.77669838923</c:v>
                </c:pt>
                <c:pt idx="79">
                  <c:v>10739.66551764015</c:v>
                </c:pt>
                <c:pt idx="80">
                  <c:v>11390.55433689107</c:v>
                </c:pt>
                <c:pt idx="81">
                  <c:v>12041.44315614199</c:v>
                </c:pt>
                <c:pt idx="82">
                  <c:v>12692.33197539291</c:v>
                </c:pt>
                <c:pt idx="83">
                  <c:v>16246.08242632666</c:v>
                </c:pt>
                <c:pt idx="84">
                  <c:v>22702.69450894325</c:v>
                </c:pt>
                <c:pt idx="85">
                  <c:v>29159.30659155983</c:v>
                </c:pt>
                <c:pt idx="86">
                  <c:v>35615.91867417642</c:v>
                </c:pt>
                <c:pt idx="87">
                  <c:v>42072.53075679301</c:v>
                </c:pt>
                <c:pt idx="88">
                  <c:v>48529.1428394096</c:v>
                </c:pt>
                <c:pt idx="89">
                  <c:v>54985.75492202618</c:v>
                </c:pt>
                <c:pt idx="90">
                  <c:v>61442.36700464277</c:v>
                </c:pt>
                <c:pt idx="91">
                  <c:v>67898.97908725936</c:v>
                </c:pt>
                <c:pt idx="92">
                  <c:v>74355.59116987594</c:v>
                </c:pt>
                <c:pt idx="93">
                  <c:v>80812.20325249255</c:v>
                </c:pt>
                <c:pt idx="94">
                  <c:v>87268.81533510913</c:v>
                </c:pt>
                <c:pt idx="95">
                  <c:v>93725.42741772571</c:v>
                </c:pt>
                <c:pt idx="96">
                  <c:v>99928.92741772571</c:v>
                </c:pt>
                <c:pt idx="97">
                  <c:v>106132.4274177257</c:v>
                </c:pt>
                <c:pt idx="98">
                  <c:v>112335.9274177257</c:v>
                </c:pt>
                <c:pt idx="99">
                  <c:v>118539.4274177257</c:v>
                </c:pt>
              </c:numCache>
            </c:numRef>
          </c:val>
        </c:ser>
        <c:ser>
          <c:idx val="10"/>
          <c:order val="10"/>
          <c:tx>
            <c:strRef>
              <c:f>Percentiles!$A$69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Percentiles!$F$69:$DA$69</c:f>
              <c:numCache>
                <c:formatCode>0</c:formatCode>
                <c:ptCount val="100"/>
                <c:pt idx="0">
                  <c:v>2094.712017250783</c:v>
                </c:pt>
                <c:pt idx="1">
                  <c:v>2094.712017250783</c:v>
                </c:pt>
                <c:pt idx="2">
                  <c:v>2094.712017250783</c:v>
                </c:pt>
                <c:pt idx="3">
                  <c:v>2094.712017250783</c:v>
                </c:pt>
                <c:pt idx="4">
                  <c:v>2094.712017250783</c:v>
                </c:pt>
                <c:pt idx="5">
                  <c:v>2094.712017250783</c:v>
                </c:pt>
                <c:pt idx="6">
                  <c:v>2094.712017250783</c:v>
                </c:pt>
                <c:pt idx="7">
                  <c:v>2094.712017250783</c:v>
                </c:pt>
                <c:pt idx="8">
                  <c:v>2094.712017250783</c:v>
                </c:pt>
                <c:pt idx="9">
                  <c:v>2094.712017250783</c:v>
                </c:pt>
                <c:pt idx="10">
                  <c:v>2094.712017250783</c:v>
                </c:pt>
                <c:pt idx="11">
                  <c:v>2094.712017250783</c:v>
                </c:pt>
                <c:pt idx="12">
                  <c:v>2094.712017250783</c:v>
                </c:pt>
                <c:pt idx="13">
                  <c:v>2094.712017250783</c:v>
                </c:pt>
                <c:pt idx="14">
                  <c:v>2094.712017250783</c:v>
                </c:pt>
                <c:pt idx="15">
                  <c:v>2094.712017250783</c:v>
                </c:pt>
                <c:pt idx="16">
                  <c:v>2094.712017250783</c:v>
                </c:pt>
                <c:pt idx="17">
                  <c:v>2094.712017250783</c:v>
                </c:pt>
                <c:pt idx="18">
                  <c:v>2094.712017250783</c:v>
                </c:pt>
                <c:pt idx="19">
                  <c:v>2094.712017250783</c:v>
                </c:pt>
                <c:pt idx="20">
                  <c:v>2094.712017250783</c:v>
                </c:pt>
                <c:pt idx="21">
                  <c:v>2094.712017250783</c:v>
                </c:pt>
                <c:pt idx="22">
                  <c:v>2094.712017250783</c:v>
                </c:pt>
                <c:pt idx="23">
                  <c:v>2094.712017250783</c:v>
                </c:pt>
                <c:pt idx="24">
                  <c:v>2094.712017250783</c:v>
                </c:pt>
                <c:pt idx="25">
                  <c:v>2094.712017250783</c:v>
                </c:pt>
                <c:pt idx="26">
                  <c:v>2094.712017250783</c:v>
                </c:pt>
                <c:pt idx="27">
                  <c:v>2094.712017250783</c:v>
                </c:pt>
                <c:pt idx="28">
                  <c:v>2094.712017250783</c:v>
                </c:pt>
                <c:pt idx="29">
                  <c:v>2094.712017250783</c:v>
                </c:pt>
                <c:pt idx="30">
                  <c:v>2094.712017250783</c:v>
                </c:pt>
                <c:pt idx="31">
                  <c:v>2094.712017250783</c:v>
                </c:pt>
                <c:pt idx="32">
                  <c:v>2094.712017250783</c:v>
                </c:pt>
                <c:pt idx="33">
                  <c:v>2094.712017250783</c:v>
                </c:pt>
                <c:pt idx="34">
                  <c:v>2094.712017250783</c:v>
                </c:pt>
                <c:pt idx="35">
                  <c:v>2094.712017250783</c:v>
                </c:pt>
                <c:pt idx="36">
                  <c:v>2094.712017250783</c:v>
                </c:pt>
                <c:pt idx="37">
                  <c:v>2094.712017250783</c:v>
                </c:pt>
                <c:pt idx="38">
                  <c:v>2094.712017250783</c:v>
                </c:pt>
                <c:pt idx="39">
                  <c:v>2094.712017250783</c:v>
                </c:pt>
                <c:pt idx="40">
                  <c:v>2094.712017250783</c:v>
                </c:pt>
                <c:pt idx="41">
                  <c:v>2094.712017250783</c:v>
                </c:pt>
                <c:pt idx="42">
                  <c:v>2094.712017250783</c:v>
                </c:pt>
                <c:pt idx="43">
                  <c:v>2094.712017250783</c:v>
                </c:pt>
                <c:pt idx="44">
                  <c:v>2094.712017250784</c:v>
                </c:pt>
                <c:pt idx="45">
                  <c:v>2094.712017250784</c:v>
                </c:pt>
                <c:pt idx="46">
                  <c:v>2094.712017250784</c:v>
                </c:pt>
                <c:pt idx="47">
                  <c:v>2094.712017250784</c:v>
                </c:pt>
                <c:pt idx="48">
                  <c:v>2094.712017250784</c:v>
                </c:pt>
                <c:pt idx="49">
                  <c:v>2094.712017250784</c:v>
                </c:pt>
                <c:pt idx="50">
                  <c:v>2094.712017250784</c:v>
                </c:pt>
                <c:pt idx="51">
                  <c:v>2094.712017250784</c:v>
                </c:pt>
                <c:pt idx="52">
                  <c:v>2094.712017250784</c:v>
                </c:pt>
                <c:pt idx="53">
                  <c:v>2094.712017250784</c:v>
                </c:pt>
                <c:pt idx="54">
                  <c:v>2094.712017250784</c:v>
                </c:pt>
                <c:pt idx="55">
                  <c:v>2094.712017250784</c:v>
                </c:pt>
                <c:pt idx="56">
                  <c:v>2094.712017250784</c:v>
                </c:pt>
                <c:pt idx="57">
                  <c:v>2094.712017250784</c:v>
                </c:pt>
                <c:pt idx="58">
                  <c:v>2094.712017250784</c:v>
                </c:pt>
                <c:pt idx="59">
                  <c:v>2094.712017250784</c:v>
                </c:pt>
                <c:pt idx="60">
                  <c:v>2094.712017250784</c:v>
                </c:pt>
                <c:pt idx="61">
                  <c:v>2094.712017250784</c:v>
                </c:pt>
                <c:pt idx="62">
                  <c:v>2094.712017250784</c:v>
                </c:pt>
                <c:pt idx="63">
                  <c:v>2094.712017250784</c:v>
                </c:pt>
                <c:pt idx="64">
                  <c:v>2094.712017250784</c:v>
                </c:pt>
                <c:pt idx="65">
                  <c:v>2094.712017250784</c:v>
                </c:pt>
                <c:pt idx="66">
                  <c:v>2094.712017250784</c:v>
                </c:pt>
                <c:pt idx="67">
                  <c:v>2094.712017250784</c:v>
                </c:pt>
                <c:pt idx="68">
                  <c:v>2094.712017250784</c:v>
                </c:pt>
                <c:pt idx="69">
                  <c:v>2094.712017250784</c:v>
                </c:pt>
                <c:pt idx="70">
                  <c:v>2094.712017250784</c:v>
                </c:pt>
                <c:pt idx="71">
                  <c:v>2094.712017250784</c:v>
                </c:pt>
                <c:pt idx="72">
                  <c:v>2094.712017250784</c:v>
                </c:pt>
                <c:pt idx="73">
                  <c:v>2094.712017250783</c:v>
                </c:pt>
                <c:pt idx="74">
                  <c:v>2094.712017250783</c:v>
                </c:pt>
                <c:pt idx="75">
                  <c:v>2094.712017250783</c:v>
                </c:pt>
                <c:pt idx="76">
                  <c:v>2094.712017250783</c:v>
                </c:pt>
                <c:pt idx="77">
                  <c:v>2094.712017250783</c:v>
                </c:pt>
                <c:pt idx="78">
                  <c:v>2094.712017250783</c:v>
                </c:pt>
                <c:pt idx="79">
                  <c:v>2094.712017250783</c:v>
                </c:pt>
                <c:pt idx="80">
                  <c:v>2094.712017250783</c:v>
                </c:pt>
                <c:pt idx="81">
                  <c:v>2094.712017250783</c:v>
                </c:pt>
                <c:pt idx="82">
                  <c:v>2094.712017250783</c:v>
                </c:pt>
                <c:pt idx="83">
                  <c:v>2010.923536560752</c:v>
                </c:pt>
                <c:pt idx="84">
                  <c:v>1843.34657518069</c:v>
                </c:pt>
                <c:pt idx="85">
                  <c:v>1675.769613800627</c:v>
                </c:pt>
                <c:pt idx="86">
                  <c:v>1508.192652420564</c:v>
                </c:pt>
                <c:pt idx="87">
                  <c:v>1340.615691040502</c:v>
                </c:pt>
                <c:pt idx="88">
                  <c:v>1173.038729660439</c:v>
                </c:pt>
                <c:pt idx="89">
                  <c:v>1005.461768280376</c:v>
                </c:pt>
                <c:pt idx="90">
                  <c:v>837.8848069003133</c:v>
                </c:pt>
                <c:pt idx="91">
                  <c:v>670.3078455202508</c:v>
                </c:pt>
                <c:pt idx="92">
                  <c:v>502.730884140188</c:v>
                </c:pt>
                <c:pt idx="93">
                  <c:v>335.1539227601254</c:v>
                </c:pt>
                <c:pt idx="94">
                  <c:v>167.5769613800628</c:v>
                </c:pt>
                <c:pt idx="95">
                  <c:v>0.0</c:v>
                </c:pt>
                <c:pt idx="96">
                  <c:v>14.73</c:v>
                </c:pt>
                <c:pt idx="97">
                  <c:v>29.46000000000001</c:v>
                </c:pt>
                <c:pt idx="98">
                  <c:v>44.19000000000001</c:v>
                </c:pt>
                <c:pt idx="99">
                  <c:v>58.92000000000002</c:v>
                </c:pt>
              </c:numCache>
            </c:numRef>
          </c:val>
        </c:ser>
        <c:ser>
          <c:idx val="11"/>
          <c:order val="11"/>
          <c:tx>
            <c:strRef>
              <c:f>Percentiles!$A$70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Percentiles!$F$70:$DA$70</c:f>
              <c:numCache>
                <c:formatCode>0</c:formatCode>
                <c:ptCount val="100"/>
                <c:pt idx="0">
                  <c:v>34543.23339961566</c:v>
                </c:pt>
                <c:pt idx="1">
                  <c:v>34543.23339961566</c:v>
                </c:pt>
                <c:pt idx="2">
                  <c:v>34543.23339961566</c:v>
                </c:pt>
                <c:pt idx="3">
                  <c:v>34543.23339961566</c:v>
                </c:pt>
                <c:pt idx="4">
                  <c:v>34543.23339961566</c:v>
                </c:pt>
                <c:pt idx="5">
                  <c:v>34543.23339961566</c:v>
                </c:pt>
                <c:pt idx="6">
                  <c:v>34543.23339961566</c:v>
                </c:pt>
                <c:pt idx="7">
                  <c:v>34543.23339961566</c:v>
                </c:pt>
                <c:pt idx="8">
                  <c:v>34543.23339961566</c:v>
                </c:pt>
                <c:pt idx="9">
                  <c:v>34543.23339961566</c:v>
                </c:pt>
                <c:pt idx="10">
                  <c:v>34543.23339961566</c:v>
                </c:pt>
                <c:pt idx="11">
                  <c:v>34543.23339961566</c:v>
                </c:pt>
                <c:pt idx="12">
                  <c:v>34543.23339961566</c:v>
                </c:pt>
                <c:pt idx="13">
                  <c:v>34543.23339961566</c:v>
                </c:pt>
                <c:pt idx="14">
                  <c:v>34543.23339961566</c:v>
                </c:pt>
                <c:pt idx="15">
                  <c:v>34543.23339961566</c:v>
                </c:pt>
                <c:pt idx="16">
                  <c:v>34543.23339961566</c:v>
                </c:pt>
                <c:pt idx="17">
                  <c:v>34543.23339961566</c:v>
                </c:pt>
                <c:pt idx="18">
                  <c:v>34543.23339961566</c:v>
                </c:pt>
                <c:pt idx="19">
                  <c:v>34543.23339961566</c:v>
                </c:pt>
                <c:pt idx="20">
                  <c:v>34543.23339961566</c:v>
                </c:pt>
                <c:pt idx="21">
                  <c:v>34543.23339961566</c:v>
                </c:pt>
                <c:pt idx="22">
                  <c:v>34543.23339961566</c:v>
                </c:pt>
                <c:pt idx="23">
                  <c:v>34543.23339961566</c:v>
                </c:pt>
                <c:pt idx="24">
                  <c:v>34543.23339961566</c:v>
                </c:pt>
                <c:pt idx="25">
                  <c:v>34543.23339961566</c:v>
                </c:pt>
                <c:pt idx="26">
                  <c:v>34499.8408116656</c:v>
                </c:pt>
                <c:pt idx="27">
                  <c:v>34456.44822371554</c:v>
                </c:pt>
                <c:pt idx="28">
                  <c:v>34413.05563576548</c:v>
                </c:pt>
                <c:pt idx="29">
                  <c:v>34369.66304781541</c:v>
                </c:pt>
                <c:pt idx="30">
                  <c:v>34326.27045986535</c:v>
                </c:pt>
                <c:pt idx="31">
                  <c:v>34282.87787191529</c:v>
                </c:pt>
                <c:pt idx="32">
                  <c:v>34239.48528396523</c:v>
                </c:pt>
                <c:pt idx="33">
                  <c:v>34196.09269601517</c:v>
                </c:pt>
                <c:pt idx="34">
                  <c:v>34152.70010806511</c:v>
                </c:pt>
                <c:pt idx="35">
                  <c:v>34109.30752011505</c:v>
                </c:pt>
                <c:pt idx="36">
                  <c:v>34065.91493216498</c:v>
                </c:pt>
                <c:pt idx="37">
                  <c:v>34022.52234421492</c:v>
                </c:pt>
                <c:pt idx="38">
                  <c:v>33979.12975626486</c:v>
                </c:pt>
                <c:pt idx="39">
                  <c:v>33935.7371683148</c:v>
                </c:pt>
                <c:pt idx="40">
                  <c:v>33892.34458036474</c:v>
                </c:pt>
                <c:pt idx="41">
                  <c:v>33848.95199241468</c:v>
                </c:pt>
                <c:pt idx="42">
                  <c:v>33805.55940446462</c:v>
                </c:pt>
                <c:pt idx="43">
                  <c:v>33762.16681651456</c:v>
                </c:pt>
                <c:pt idx="44">
                  <c:v>33718.77422856449</c:v>
                </c:pt>
                <c:pt idx="45">
                  <c:v>33675.38164061443</c:v>
                </c:pt>
                <c:pt idx="46">
                  <c:v>33631.98905266437</c:v>
                </c:pt>
                <c:pt idx="47">
                  <c:v>33588.59646471431</c:v>
                </c:pt>
                <c:pt idx="48">
                  <c:v>33545.20387676425</c:v>
                </c:pt>
                <c:pt idx="49">
                  <c:v>33501.8112888142</c:v>
                </c:pt>
                <c:pt idx="50">
                  <c:v>33458.41870086413</c:v>
                </c:pt>
                <c:pt idx="51">
                  <c:v>33415.02611291407</c:v>
                </c:pt>
                <c:pt idx="52">
                  <c:v>33371.633524964</c:v>
                </c:pt>
                <c:pt idx="53">
                  <c:v>33328.24093701394</c:v>
                </c:pt>
                <c:pt idx="54">
                  <c:v>33284.84834906388</c:v>
                </c:pt>
                <c:pt idx="55">
                  <c:v>33241.45576111382</c:v>
                </c:pt>
                <c:pt idx="56">
                  <c:v>33198.06317316376</c:v>
                </c:pt>
                <c:pt idx="57">
                  <c:v>33154.6705852137</c:v>
                </c:pt>
                <c:pt idx="58">
                  <c:v>33111.27799726364</c:v>
                </c:pt>
                <c:pt idx="59">
                  <c:v>33067.88540931357</c:v>
                </c:pt>
                <c:pt idx="60">
                  <c:v>33024.49282136351</c:v>
                </c:pt>
                <c:pt idx="61">
                  <c:v>32981.10023341345</c:v>
                </c:pt>
                <c:pt idx="62">
                  <c:v>32937.70764546339</c:v>
                </c:pt>
                <c:pt idx="63">
                  <c:v>32093.11106770115</c:v>
                </c:pt>
                <c:pt idx="64">
                  <c:v>30447.31050012674</c:v>
                </c:pt>
                <c:pt idx="65">
                  <c:v>28801.50993255232</c:v>
                </c:pt>
                <c:pt idx="66">
                  <c:v>27155.7093649779</c:v>
                </c:pt>
                <c:pt idx="67">
                  <c:v>25509.90879740348</c:v>
                </c:pt>
                <c:pt idx="68">
                  <c:v>23864.10822982906</c:v>
                </c:pt>
                <c:pt idx="69">
                  <c:v>22218.30766225464</c:v>
                </c:pt>
                <c:pt idx="70">
                  <c:v>20572.50709468023</c:v>
                </c:pt>
                <c:pt idx="71">
                  <c:v>18926.70652710581</c:v>
                </c:pt>
                <c:pt idx="72">
                  <c:v>17280.90595953139</c:v>
                </c:pt>
                <c:pt idx="73">
                  <c:v>15635.10539195697</c:v>
                </c:pt>
                <c:pt idx="74">
                  <c:v>13989.30482438255</c:v>
                </c:pt>
                <c:pt idx="75">
                  <c:v>12343.50425680814</c:v>
                </c:pt>
                <c:pt idx="76">
                  <c:v>10697.70368923372</c:v>
                </c:pt>
                <c:pt idx="77">
                  <c:v>9051.903121659299</c:v>
                </c:pt>
                <c:pt idx="78">
                  <c:v>7406.102554084882</c:v>
                </c:pt>
                <c:pt idx="79">
                  <c:v>5760.301986510461</c:v>
                </c:pt>
                <c:pt idx="80">
                  <c:v>4114.501418936045</c:v>
                </c:pt>
                <c:pt idx="81">
                  <c:v>2468.700851361627</c:v>
                </c:pt>
                <c:pt idx="82">
                  <c:v>822.9002837872067</c:v>
                </c:pt>
                <c:pt idx="83">
                  <c:v>455.6221734756427</c:v>
                </c:pt>
                <c:pt idx="84">
                  <c:v>1366.866520426928</c:v>
                </c:pt>
                <c:pt idx="85">
                  <c:v>2278.110867378213</c:v>
                </c:pt>
                <c:pt idx="86">
                  <c:v>3189.355214329498</c:v>
                </c:pt>
                <c:pt idx="87">
                  <c:v>4100.599561280783</c:v>
                </c:pt>
                <c:pt idx="88">
                  <c:v>5011.843908232069</c:v>
                </c:pt>
                <c:pt idx="89">
                  <c:v>5923.088255183355</c:v>
                </c:pt>
                <c:pt idx="90">
                  <c:v>6834.33260213464</c:v>
                </c:pt>
                <c:pt idx="91">
                  <c:v>7745.576949085925</c:v>
                </c:pt>
                <c:pt idx="92">
                  <c:v>8656.821296037211</c:v>
                </c:pt>
                <c:pt idx="93">
                  <c:v>9568.065642988497</c:v>
                </c:pt>
                <c:pt idx="94">
                  <c:v>10479.30998993978</c:v>
                </c:pt>
                <c:pt idx="95">
                  <c:v>11390.55433689107</c:v>
                </c:pt>
                <c:pt idx="96">
                  <c:v>10262.72433689107</c:v>
                </c:pt>
                <c:pt idx="97">
                  <c:v>9134.894336891067</c:v>
                </c:pt>
                <c:pt idx="98">
                  <c:v>8007.064336891067</c:v>
                </c:pt>
                <c:pt idx="99">
                  <c:v>6879.234336891068</c:v>
                </c:pt>
              </c:numCache>
            </c:numRef>
          </c:val>
        </c:ser>
        <c:ser>
          <c:idx val="14"/>
          <c:order val="12"/>
          <c:tx>
            <c:strRef>
              <c:f>Percentiles!$A$71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Percentiles!$F$71:$DA$71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512.5108812999356</c:v>
                </c:pt>
                <c:pt idx="64">
                  <c:v>1537.532643899807</c:v>
                </c:pt>
                <c:pt idx="65">
                  <c:v>2562.554406499678</c:v>
                </c:pt>
                <c:pt idx="66">
                  <c:v>3587.57616909955</c:v>
                </c:pt>
                <c:pt idx="67">
                  <c:v>4612.59793169942</c:v>
                </c:pt>
                <c:pt idx="68">
                  <c:v>5637.619694299291</c:v>
                </c:pt>
                <c:pt idx="69">
                  <c:v>6662.641456899162</c:v>
                </c:pt>
                <c:pt idx="70">
                  <c:v>7687.663219499034</c:v>
                </c:pt>
                <c:pt idx="71">
                  <c:v>8712.684982098904</c:v>
                </c:pt>
                <c:pt idx="72">
                  <c:v>9737.706744698777</c:v>
                </c:pt>
                <c:pt idx="73">
                  <c:v>10762.72850729865</c:v>
                </c:pt>
                <c:pt idx="74">
                  <c:v>11787.75026989852</c:v>
                </c:pt>
                <c:pt idx="75">
                  <c:v>12812.77203249839</c:v>
                </c:pt>
                <c:pt idx="76">
                  <c:v>13837.79379509826</c:v>
                </c:pt>
                <c:pt idx="77">
                  <c:v>14862.81555769813</c:v>
                </c:pt>
                <c:pt idx="78">
                  <c:v>15887.837320298</c:v>
                </c:pt>
                <c:pt idx="79">
                  <c:v>16912.85908289787</c:v>
                </c:pt>
                <c:pt idx="80">
                  <c:v>17937.88084549774</c:v>
                </c:pt>
                <c:pt idx="81">
                  <c:v>18962.90260809762</c:v>
                </c:pt>
                <c:pt idx="82">
                  <c:v>19987.92437069749</c:v>
                </c:pt>
                <c:pt idx="83">
                  <c:v>21237.42589930673</c:v>
                </c:pt>
                <c:pt idx="84">
                  <c:v>22711.40719392534</c:v>
                </c:pt>
                <c:pt idx="85">
                  <c:v>24185.38848854396</c:v>
                </c:pt>
                <c:pt idx="86">
                  <c:v>25659.36978316258</c:v>
                </c:pt>
                <c:pt idx="87">
                  <c:v>27133.35107778119</c:v>
                </c:pt>
                <c:pt idx="88">
                  <c:v>28607.3323723998</c:v>
                </c:pt>
                <c:pt idx="89">
                  <c:v>30081.31366701842</c:v>
                </c:pt>
                <c:pt idx="90">
                  <c:v>31555.29496163704</c:v>
                </c:pt>
                <c:pt idx="91">
                  <c:v>33029.27625625565</c:v>
                </c:pt>
                <c:pt idx="92">
                  <c:v>34503.25755087427</c:v>
                </c:pt>
                <c:pt idx="93">
                  <c:v>35977.23884549288</c:v>
                </c:pt>
                <c:pt idx="94">
                  <c:v>37451.22014011149</c:v>
                </c:pt>
                <c:pt idx="95">
                  <c:v>38925.20143473011</c:v>
                </c:pt>
                <c:pt idx="96">
                  <c:v>39221.53143473011</c:v>
                </c:pt>
                <c:pt idx="97">
                  <c:v>39517.86143473011</c:v>
                </c:pt>
                <c:pt idx="98">
                  <c:v>39814.19143473011</c:v>
                </c:pt>
                <c:pt idx="99">
                  <c:v>40110.52143473011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5612200"/>
        <c:axId val="-2075606456"/>
      </c:area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val>
            <c:numRef>
              <c:f>Percentiles!$F$39:$DA$39</c:f>
              <c:numCache>
                <c:formatCode>0</c:formatCode>
                <c:ptCount val="100"/>
                <c:pt idx="0">
                  <c:v>35969.40697206206</c:v>
                </c:pt>
                <c:pt idx="1">
                  <c:v>35969.40697206206</c:v>
                </c:pt>
                <c:pt idx="2">
                  <c:v>35969.40697206206</c:v>
                </c:pt>
                <c:pt idx="3">
                  <c:v>35969.40697206206</c:v>
                </c:pt>
                <c:pt idx="4">
                  <c:v>35969.40697206206</c:v>
                </c:pt>
                <c:pt idx="5">
                  <c:v>35969.40697206206</c:v>
                </c:pt>
                <c:pt idx="6">
                  <c:v>35969.40697206206</c:v>
                </c:pt>
                <c:pt idx="7">
                  <c:v>35969.40697206206</c:v>
                </c:pt>
                <c:pt idx="8">
                  <c:v>35969.40697206206</c:v>
                </c:pt>
                <c:pt idx="9">
                  <c:v>35969.40697206206</c:v>
                </c:pt>
                <c:pt idx="10">
                  <c:v>35969.40697206206</c:v>
                </c:pt>
                <c:pt idx="11">
                  <c:v>35969.40697206206</c:v>
                </c:pt>
                <c:pt idx="12">
                  <c:v>35969.40697206206</c:v>
                </c:pt>
                <c:pt idx="13">
                  <c:v>35969.40697206206</c:v>
                </c:pt>
                <c:pt idx="14">
                  <c:v>35969.40697206206</c:v>
                </c:pt>
                <c:pt idx="15">
                  <c:v>35969.40697206206</c:v>
                </c:pt>
                <c:pt idx="16">
                  <c:v>35969.40697206206</c:v>
                </c:pt>
                <c:pt idx="17">
                  <c:v>35969.40697206206</c:v>
                </c:pt>
                <c:pt idx="18">
                  <c:v>35969.40697206206</c:v>
                </c:pt>
                <c:pt idx="19">
                  <c:v>35969.40697206206</c:v>
                </c:pt>
                <c:pt idx="20">
                  <c:v>35969.40697206206</c:v>
                </c:pt>
                <c:pt idx="21">
                  <c:v>35969.40697206206</c:v>
                </c:pt>
                <c:pt idx="22">
                  <c:v>35969.40697206206</c:v>
                </c:pt>
                <c:pt idx="23">
                  <c:v>35969.40697206206</c:v>
                </c:pt>
                <c:pt idx="24">
                  <c:v>35969.40697206206</c:v>
                </c:pt>
                <c:pt idx="25">
                  <c:v>35969.40697206206</c:v>
                </c:pt>
                <c:pt idx="26">
                  <c:v>35969.40697206206</c:v>
                </c:pt>
                <c:pt idx="27">
                  <c:v>35969.40697206206</c:v>
                </c:pt>
                <c:pt idx="28">
                  <c:v>35969.40697206206</c:v>
                </c:pt>
                <c:pt idx="29">
                  <c:v>35969.40697206206</c:v>
                </c:pt>
                <c:pt idx="30">
                  <c:v>35969.40697206206</c:v>
                </c:pt>
                <c:pt idx="31">
                  <c:v>35969.40697206206</c:v>
                </c:pt>
                <c:pt idx="32">
                  <c:v>35969.40697206206</c:v>
                </c:pt>
                <c:pt idx="33">
                  <c:v>35969.40697206206</c:v>
                </c:pt>
                <c:pt idx="34">
                  <c:v>35969.40697206206</c:v>
                </c:pt>
                <c:pt idx="35">
                  <c:v>35969.40697206206</c:v>
                </c:pt>
                <c:pt idx="36">
                  <c:v>35969.40697206206</c:v>
                </c:pt>
                <c:pt idx="37">
                  <c:v>35969.40697206206</c:v>
                </c:pt>
                <c:pt idx="38">
                  <c:v>35969.40697206206</c:v>
                </c:pt>
                <c:pt idx="39">
                  <c:v>35969.40697206206</c:v>
                </c:pt>
                <c:pt idx="40">
                  <c:v>35969.40697206206</c:v>
                </c:pt>
                <c:pt idx="41">
                  <c:v>35969.40697206206</c:v>
                </c:pt>
                <c:pt idx="42">
                  <c:v>35969.40697206206</c:v>
                </c:pt>
                <c:pt idx="43">
                  <c:v>35969.40697206206</c:v>
                </c:pt>
                <c:pt idx="44">
                  <c:v>35969.40697206206</c:v>
                </c:pt>
                <c:pt idx="45">
                  <c:v>35969.40697206206</c:v>
                </c:pt>
                <c:pt idx="46">
                  <c:v>35969.40697206206</c:v>
                </c:pt>
                <c:pt idx="47">
                  <c:v>35969.40697206206</c:v>
                </c:pt>
                <c:pt idx="48">
                  <c:v>35969.40697206206</c:v>
                </c:pt>
                <c:pt idx="49">
                  <c:v>35969.40697206206</c:v>
                </c:pt>
                <c:pt idx="50">
                  <c:v>35969.40697206205</c:v>
                </c:pt>
                <c:pt idx="51">
                  <c:v>35969.40697206205</c:v>
                </c:pt>
                <c:pt idx="52">
                  <c:v>35969.40697206205</c:v>
                </c:pt>
                <c:pt idx="53">
                  <c:v>35969.40697206205</c:v>
                </c:pt>
                <c:pt idx="54">
                  <c:v>35969.40697206205</c:v>
                </c:pt>
                <c:pt idx="55">
                  <c:v>35969.40697206205</c:v>
                </c:pt>
                <c:pt idx="56">
                  <c:v>35969.40697206205</c:v>
                </c:pt>
                <c:pt idx="57">
                  <c:v>35969.40697206205</c:v>
                </c:pt>
                <c:pt idx="58">
                  <c:v>35969.40697206205</c:v>
                </c:pt>
                <c:pt idx="59">
                  <c:v>35969.40697206205</c:v>
                </c:pt>
                <c:pt idx="60">
                  <c:v>35969.40697206205</c:v>
                </c:pt>
                <c:pt idx="61">
                  <c:v>35969.40697206205</c:v>
                </c:pt>
                <c:pt idx="62">
                  <c:v>35969.40697206205</c:v>
                </c:pt>
                <c:pt idx="63">
                  <c:v>35969.40697206205</c:v>
                </c:pt>
                <c:pt idx="64">
                  <c:v>35969.40697206205</c:v>
                </c:pt>
                <c:pt idx="65">
                  <c:v>35969.40697206205</c:v>
                </c:pt>
                <c:pt idx="66">
                  <c:v>35969.40697206205</c:v>
                </c:pt>
                <c:pt idx="67">
                  <c:v>35969.40697206205</c:v>
                </c:pt>
                <c:pt idx="68">
                  <c:v>35969.40697206205</c:v>
                </c:pt>
                <c:pt idx="69">
                  <c:v>35969.40697206205</c:v>
                </c:pt>
                <c:pt idx="70">
                  <c:v>35969.40697206205</c:v>
                </c:pt>
                <c:pt idx="71">
                  <c:v>35969.40697206205</c:v>
                </c:pt>
                <c:pt idx="72">
                  <c:v>35969.40697206205</c:v>
                </c:pt>
                <c:pt idx="73">
                  <c:v>35969.40697206205</c:v>
                </c:pt>
                <c:pt idx="74">
                  <c:v>35969.40697206205</c:v>
                </c:pt>
                <c:pt idx="75">
                  <c:v>35969.40697206205</c:v>
                </c:pt>
                <c:pt idx="76">
                  <c:v>35969.40697206205</c:v>
                </c:pt>
                <c:pt idx="77">
                  <c:v>35969.40697206205</c:v>
                </c:pt>
                <c:pt idx="78">
                  <c:v>35969.40697206205</c:v>
                </c:pt>
                <c:pt idx="79">
                  <c:v>35969.40697206205</c:v>
                </c:pt>
                <c:pt idx="80">
                  <c:v>35969.40697206205</c:v>
                </c:pt>
                <c:pt idx="81">
                  <c:v>35969.40697206205</c:v>
                </c:pt>
                <c:pt idx="82">
                  <c:v>35969.40697206205</c:v>
                </c:pt>
                <c:pt idx="83">
                  <c:v>35969.40697206205</c:v>
                </c:pt>
                <c:pt idx="84">
                  <c:v>35969.40697206205</c:v>
                </c:pt>
                <c:pt idx="85">
                  <c:v>35969.40697206205</c:v>
                </c:pt>
                <c:pt idx="86">
                  <c:v>35969.40697206205</c:v>
                </c:pt>
                <c:pt idx="87">
                  <c:v>35969.40697206205</c:v>
                </c:pt>
                <c:pt idx="88">
                  <c:v>35969.40697206205</c:v>
                </c:pt>
                <c:pt idx="89">
                  <c:v>35969.40697206205</c:v>
                </c:pt>
                <c:pt idx="90">
                  <c:v>35969.40697206206</c:v>
                </c:pt>
                <c:pt idx="91">
                  <c:v>35969.40697206206</c:v>
                </c:pt>
                <c:pt idx="92">
                  <c:v>35969.40697206206</c:v>
                </c:pt>
                <c:pt idx="93">
                  <c:v>35969.40697206206</c:v>
                </c:pt>
                <c:pt idx="94">
                  <c:v>35969.40697206206</c:v>
                </c:pt>
                <c:pt idx="95">
                  <c:v>35969.40697206206</c:v>
                </c:pt>
                <c:pt idx="96">
                  <c:v>35969.40697206206</c:v>
                </c:pt>
                <c:pt idx="97">
                  <c:v>35969.40697206206</c:v>
                </c:pt>
                <c:pt idx="98">
                  <c:v>35969.40697206206</c:v>
                </c:pt>
                <c:pt idx="99">
                  <c:v>35969.40697206206</c:v>
                </c:pt>
              </c:numCache>
            </c:numRef>
          </c:val>
          <c:smooth val="0"/>
        </c:ser>
        <c:ser>
          <c:idx val="13"/>
          <c:order val="14"/>
          <c:tx>
            <c:strRef>
              <c:f>Percentiles!$A$72</c:f>
              <c:strCache>
                <c:ptCount val="1"/>
                <c:pt idx="0">
                  <c:v>TOTAL</c:v>
                </c:pt>
              </c:strCache>
            </c:strRef>
          </c:tx>
          <c:spPr>
            <a:ln w="25400">
              <a:solidFill>
                <a:srgbClr val="003366"/>
              </a:solidFill>
              <a:prstDash val="solid"/>
            </a:ln>
          </c:spPr>
          <c:marker>
            <c:symbol val="none"/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6"/>
            <c:dispRSqr val="0"/>
            <c:dispEq val="0"/>
          </c:trendline>
          <c:val>
            <c:numRef>
              <c:f>Percentiles!$F$72:$DA$72</c:f>
              <c:numCache>
                <c:formatCode>0</c:formatCode>
                <c:ptCount val="100"/>
                <c:pt idx="0">
                  <c:v>51313.71078537891</c:v>
                </c:pt>
                <c:pt idx="1">
                  <c:v>51313.71078537891</c:v>
                </c:pt>
                <c:pt idx="2">
                  <c:v>51313.71078537891</c:v>
                </c:pt>
                <c:pt idx="3">
                  <c:v>51313.71078537891</c:v>
                </c:pt>
                <c:pt idx="4">
                  <c:v>51313.71078537891</c:v>
                </c:pt>
                <c:pt idx="5">
                  <c:v>51313.71078537891</c:v>
                </c:pt>
                <c:pt idx="6">
                  <c:v>51313.71078537891</c:v>
                </c:pt>
                <c:pt idx="7">
                  <c:v>51313.71078537891</c:v>
                </c:pt>
                <c:pt idx="8">
                  <c:v>51313.71078537891</c:v>
                </c:pt>
                <c:pt idx="9">
                  <c:v>51313.71078537891</c:v>
                </c:pt>
                <c:pt idx="10">
                  <c:v>51313.71078537891</c:v>
                </c:pt>
                <c:pt idx="11">
                  <c:v>51313.71078537891</c:v>
                </c:pt>
                <c:pt idx="12">
                  <c:v>51313.71078537891</c:v>
                </c:pt>
                <c:pt idx="13">
                  <c:v>51313.71078537891</c:v>
                </c:pt>
                <c:pt idx="14">
                  <c:v>51313.71078537891</c:v>
                </c:pt>
                <c:pt idx="15">
                  <c:v>51313.71078537891</c:v>
                </c:pt>
                <c:pt idx="16">
                  <c:v>51313.71078537891</c:v>
                </c:pt>
                <c:pt idx="17">
                  <c:v>51313.71078537891</c:v>
                </c:pt>
                <c:pt idx="18">
                  <c:v>51313.71078537891</c:v>
                </c:pt>
                <c:pt idx="19">
                  <c:v>51313.71078537891</c:v>
                </c:pt>
                <c:pt idx="20">
                  <c:v>51313.71078537891</c:v>
                </c:pt>
                <c:pt idx="21">
                  <c:v>51313.71078537891</c:v>
                </c:pt>
                <c:pt idx="22">
                  <c:v>51313.71078537891</c:v>
                </c:pt>
                <c:pt idx="23">
                  <c:v>51313.71078537891</c:v>
                </c:pt>
                <c:pt idx="24">
                  <c:v>51313.71078537891</c:v>
                </c:pt>
                <c:pt idx="25">
                  <c:v>51313.71078537891</c:v>
                </c:pt>
                <c:pt idx="26">
                  <c:v>51662.04073801015</c:v>
                </c:pt>
                <c:pt idx="27">
                  <c:v>52010.37069064139</c:v>
                </c:pt>
                <c:pt idx="28">
                  <c:v>52358.70064327263</c:v>
                </c:pt>
                <c:pt idx="29">
                  <c:v>52707.03059590387</c:v>
                </c:pt>
                <c:pt idx="30">
                  <c:v>53055.36054853511</c:v>
                </c:pt>
                <c:pt idx="31">
                  <c:v>53403.69050116635</c:v>
                </c:pt>
                <c:pt idx="32">
                  <c:v>53752.0204537976</c:v>
                </c:pt>
                <c:pt idx="33">
                  <c:v>54100.35040642883</c:v>
                </c:pt>
                <c:pt idx="34">
                  <c:v>54448.68035906007</c:v>
                </c:pt>
                <c:pt idx="35">
                  <c:v>54797.01031169132</c:v>
                </c:pt>
                <c:pt idx="36">
                  <c:v>55145.34026432255</c:v>
                </c:pt>
                <c:pt idx="37">
                  <c:v>55493.67021695379</c:v>
                </c:pt>
                <c:pt idx="38">
                  <c:v>55842.00016958504</c:v>
                </c:pt>
                <c:pt idx="39">
                  <c:v>56190.33012221627</c:v>
                </c:pt>
                <c:pt idx="40">
                  <c:v>56538.66007484752</c:v>
                </c:pt>
                <c:pt idx="41">
                  <c:v>56886.99002747875</c:v>
                </c:pt>
                <c:pt idx="42">
                  <c:v>57235.31998011</c:v>
                </c:pt>
                <c:pt idx="43">
                  <c:v>57583.64993274125</c:v>
                </c:pt>
                <c:pt idx="44">
                  <c:v>57931.97988537247</c:v>
                </c:pt>
                <c:pt idx="45">
                  <c:v>58280.30983800372</c:v>
                </c:pt>
                <c:pt idx="46">
                  <c:v>58628.63979063496</c:v>
                </c:pt>
                <c:pt idx="47">
                  <c:v>58976.9697432662</c:v>
                </c:pt>
                <c:pt idx="48">
                  <c:v>59325.29969589744</c:v>
                </c:pt>
                <c:pt idx="49">
                  <c:v>59673.62964852868</c:v>
                </c:pt>
                <c:pt idx="50">
                  <c:v>60021.95960115992</c:v>
                </c:pt>
                <c:pt idx="51">
                  <c:v>60370.28955379116</c:v>
                </c:pt>
                <c:pt idx="52">
                  <c:v>60718.6195064224</c:v>
                </c:pt>
                <c:pt idx="53">
                  <c:v>61066.94945905364</c:v>
                </c:pt>
                <c:pt idx="54">
                  <c:v>61415.27941168488</c:v>
                </c:pt>
                <c:pt idx="55">
                  <c:v>61763.60936431612</c:v>
                </c:pt>
                <c:pt idx="56">
                  <c:v>62111.93931694736</c:v>
                </c:pt>
                <c:pt idx="57">
                  <c:v>62460.2692695786</c:v>
                </c:pt>
                <c:pt idx="58">
                  <c:v>62808.59922220984</c:v>
                </c:pt>
                <c:pt idx="59">
                  <c:v>63156.92917484108</c:v>
                </c:pt>
                <c:pt idx="60">
                  <c:v>63505.25912747232</c:v>
                </c:pt>
                <c:pt idx="61">
                  <c:v>63853.58908010356</c:v>
                </c:pt>
                <c:pt idx="62">
                  <c:v>64201.9190327348</c:v>
                </c:pt>
                <c:pt idx="63">
                  <c:v>66641.55098642266</c:v>
                </c:pt>
                <c:pt idx="64">
                  <c:v>71172.48494116716</c:v>
                </c:pt>
                <c:pt idx="65">
                  <c:v>75703.41889591166</c:v>
                </c:pt>
                <c:pt idx="66">
                  <c:v>80234.35285065616</c:v>
                </c:pt>
                <c:pt idx="67">
                  <c:v>84765.28680540065</c:v>
                </c:pt>
                <c:pt idx="68">
                  <c:v>89296.22076014515</c:v>
                </c:pt>
                <c:pt idx="69">
                  <c:v>93827.15471488963</c:v>
                </c:pt>
                <c:pt idx="70">
                  <c:v>98358.08866963414</c:v>
                </c:pt>
                <c:pt idx="71">
                  <c:v>102889.0226243786</c:v>
                </c:pt>
                <c:pt idx="72">
                  <c:v>107419.9565791231</c:v>
                </c:pt>
                <c:pt idx="73">
                  <c:v>111950.8905338676</c:v>
                </c:pt>
                <c:pt idx="74">
                  <c:v>116481.8244886121</c:v>
                </c:pt>
                <c:pt idx="75">
                  <c:v>121012.7584433566</c:v>
                </c:pt>
                <c:pt idx="76">
                  <c:v>125543.6923981011</c:v>
                </c:pt>
                <c:pt idx="77">
                  <c:v>130074.6263528456</c:v>
                </c:pt>
                <c:pt idx="78">
                  <c:v>134605.5603075901</c:v>
                </c:pt>
                <c:pt idx="79">
                  <c:v>139136.4942623346</c:v>
                </c:pt>
                <c:pt idx="80">
                  <c:v>143667.4282170791</c:v>
                </c:pt>
                <c:pt idx="81">
                  <c:v>148198.3621718236</c:v>
                </c:pt>
                <c:pt idx="82">
                  <c:v>152729.2961265681</c:v>
                </c:pt>
                <c:pt idx="83">
                  <c:v>161860.9323276076</c:v>
                </c:pt>
                <c:pt idx="84">
                  <c:v>175593.2707749422</c:v>
                </c:pt>
                <c:pt idx="85">
                  <c:v>189325.6092222768</c:v>
                </c:pt>
                <c:pt idx="86">
                  <c:v>203057.9476696113</c:v>
                </c:pt>
                <c:pt idx="87">
                  <c:v>216790.2861169458</c:v>
                </c:pt>
                <c:pt idx="88">
                  <c:v>230522.6245642804</c:v>
                </c:pt>
                <c:pt idx="89">
                  <c:v>244254.963011615</c:v>
                </c:pt>
                <c:pt idx="90">
                  <c:v>257987.3014589495</c:v>
                </c:pt>
                <c:pt idx="91">
                  <c:v>271719.6399062841</c:v>
                </c:pt>
                <c:pt idx="92">
                  <c:v>285451.9783536187</c:v>
                </c:pt>
                <c:pt idx="93">
                  <c:v>299184.3168009533</c:v>
                </c:pt>
                <c:pt idx="94">
                  <c:v>312916.6552482878</c:v>
                </c:pt>
                <c:pt idx="95">
                  <c:v>326648.9936956223</c:v>
                </c:pt>
                <c:pt idx="96">
                  <c:v>336428.7946956223</c:v>
                </c:pt>
                <c:pt idx="97">
                  <c:v>346208.5956956224</c:v>
                </c:pt>
                <c:pt idx="98">
                  <c:v>355988.3966956224</c:v>
                </c:pt>
                <c:pt idx="99">
                  <c:v>365768.1976956224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5612200"/>
        <c:axId val="-2075606456"/>
      </c:lineChart>
      <c:catAx>
        <c:axId val="-2075612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7560645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7560645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Annual Total Income (ZAR)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75612200"/>
        <c:crossesAt val="1.0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4190384023226"/>
          <c:y val="0.042042042042042"/>
          <c:w val="0.9874307174592"/>
          <c:h val="0.96997067934075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Rich!$K$6:$M$6</c:f>
              <c:numCache>
                <c:formatCode>0%</c:formatCode>
                <c:ptCount val="3"/>
                <c:pt idx="0">
                  <c:v>0.0844800747198007</c:v>
                </c:pt>
                <c:pt idx="1">
                  <c:v>0.0168960149439601</c:v>
                </c:pt>
                <c:pt idx="2" formatCode="0.0%">
                  <c:v>0.0168960149439601</c:v>
                </c:pt>
              </c:numCache>
            </c:numRef>
          </c:val>
        </c:ser>
        <c:ser>
          <c:idx val="1"/>
          <c:order val="1"/>
          <c:tx>
            <c:strRef>
              <c:f>Rich!$A$7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Rich!$K$7:$M$7</c:f>
              <c:numCache>
                <c:formatCode>0%</c:formatCode>
                <c:ptCount val="3"/>
                <c:pt idx="0">
                  <c:v>0.0881645968244085</c:v>
                </c:pt>
                <c:pt idx="1">
                  <c:v>0.0176329193648817</c:v>
                </c:pt>
                <c:pt idx="2" formatCode="0.0%">
                  <c:v>0.0176329193648817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Rich!$K$8:$M$8</c:f>
              <c:numCache>
                <c:formatCode>0%</c:formatCode>
                <c:ptCount val="3"/>
                <c:pt idx="0">
                  <c:v>0.0591457191780822</c:v>
                </c:pt>
                <c:pt idx="1">
                  <c:v>0.0177437157534247</c:v>
                </c:pt>
                <c:pt idx="2" formatCode="0.0%">
                  <c:v>0.0293472119285028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Rich!$K$9:$M$9</c:f>
              <c:numCache>
                <c:formatCode>0%</c:formatCode>
                <c:ptCount val="3"/>
                <c:pt idx="0">
                  <c:v>0.0552352584059776</c:v>
                </c:pt>
                <c:pt idx="1">
                  <c:v>0.0110470516811955</c:v>
                </c:pt>
                <c:pt idx="2" formatCode="0.0%">
                  <c:v>0.0110470516811955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Rich!$K$10:$M$10</c:f>
              <c:numCache>
                <c:formatCode>0%</c:formatCode>
                <c:ptCount val="3"/>
                <c:pt idx="0">
                  <c:v>0.033942799501868</c:v>
                </c:pt>
                <c:pt idx="1">
                  <c:v>0.0067885599003736</c:v>
                </c:pt>
                <c:pt idx="2" formatCode="0.0%">
                  <c:v>0.00730410035853244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</c:strCache>
            </c:strRef>
          </c:tx>
          <c:spPr>
            <a:solidFill>
              <a:srgbClr val="1FB71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</c:strCache>
            </c:strRef>
          </c:tx>
          <c:spPr>
            <a:solidFill>
              <a:srgbClr val="CCCC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Rich!$A$14</c:f>
              <c:strCache>
                <c:ptCount val="1"/>
              </c:strCache>
            </c:strRef>
          </c:tx>
          <c:spPr>
            <a:solidFill>
              <a:srgbClr val="96969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Rich!$A$15</c:f>
              <c:strCache>
                <c:ptCount val="1"/>
              </c:strCache>
            </c:strRef>
          </c:tx>
          <c:spPr>
            <a:solidFill>
              <a:srgbClr val="FCF30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Rich!$A$16</c:f>
              <c:strCache>
                <c:ptCount val="1"/>
              </c:strCache>
            </c:strRef>
          </c:tx>
          <c:spPr>
            <a:solidFill>
              <a:srgbClr val="00ABE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Rich!$A$17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Rich!$A$18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Rich!$A$19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Rich!$A$20</c:f>
              <c:strCache>
                <c:ptCount val="1"/>
              </c:strCache>
            </c:strRef>
          </c:tx>
          <c:spPr>
            <a:solidFill>
              <a:srgbClr val="0000D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Rich!$A$21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Rich!$A$22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Rich!$A$23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Rich!$A$24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Rich!$A$25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Rich!$K$26:$M$26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Rich!$K$27:$M$27</c:f>
              <c:numCache>
                <c:formatCode>0%</c:formatCode>
                <c:ptCount val="3"/>
                <c:pt idx="0">
                  <c:v>0.0331411550435865</c:v>
                </c:pt>
                <c:pt idx="1">
                  <c:v>0.0331411550435865</c:v>
                </c:pt>
                <c:pt idx="2" formatCode="0.0%">
                  <c:v>0.031696311993687</c:v>
                </c:pt>
              </c:numCache>
            </c:numRef>
          </c:val>
        </c:ser>
        <c:ser>
          <c:idx val="22"/>
          <c:order val="2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Rich!$K$29:$M$29</c:f>
              <c:numCache>
                <c:formatCode>0%</c:formatCode>
                <c:ptCount val="3"/>
                <c:pt idx="0">
                  <c:v>0.467511878891656</c:v>
                </c:pt>
                <c:pt idx="1">
                  <c:v>0.467511878891656</c:v>
                </c:pt>
                <c:pt idx="2" formatCode="0.0%">
                  <c:v>0.456923340051697</c:v>
                </c:pt>
              </c:numCache>
            </c:numRef>
          </c:val>
        </c:ser>
        <c:ser>
          <c:idx val="24"/>
          <c:order val="2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Rich!$K$30:$M$30</c:f>
              <c:numCache>
                <c:formatCode>0%</c:formatCode>
                <c:ptCount val="3"/>
                <c:pt idx="0">
                  <c:v>0.506545446575342</c:v>
                </c:pt>
                <c:pt idx="1">
                  <c:v>0.189950277010233</c:v>
                </c:pt>
                <c:pt idx="2" formatCode="0.0%">
                  <c:v>0.429153049677544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77688152"/>
        <c:axId val="-2077684808"/>
      </c:barChart>
      <c:catAx>
        <c:axId val="-2077688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776848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776848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4432162997363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7768815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V.Poor!$K$7:$M$7</c:f>
              <c:numCache>
                <c:formatCode>0%</c:formatCode>
                <c:ptCount val="3"/>
                <c:pt idx="0">
                  <c:v>0.0101253002134851</c:v>
                </c:pt>
                <c:pt idx="1">
                  <c:v>0.00202506004269703</c:v>
                </c:pt>
                <c:pt idx="2" formatCode="0.0%">
                  <c:v>0.00202506004269703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V.Poor!$K$8:$M$8</c:f>
              <c:numCache>
                <c:formatCode>0%</c:formatCode>
                <c:ptCount val="3"/>
                <c:pt idx="0">
                  <c:v>0.0459646731898239</c:v>
                </c:pt>
                <c:pt idx="1">
                  <c:v>0.0137894019569472</c:v>
                </c:pt>
                <c:pt idx="2" formatCode="0.0%">
                  <c:v>0.0137894019569472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V.Poor!$K$9:$M$9</c:f>
              <c:numCache>
                <c:formatCode>0%</c:formatCode>
                <c:ptCount val="3"/>
                <c:pt idx="0">
                  <c:v>0.0126252019213663</c:v>
                </c:pt>
                <c:pt idx="1">
                  <c:v>0.00252504038427326</c:v>
                </c:pt>
                <c:pt idx="2" formatCode="0.0%">
                  <c:v>0.00252504038427326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V.Poor!$K$10:$M$10</c:f>
              <c:numCache>
                <c:formatCode>0%</c:formatCode>
                <c:ptCount val="3"/>
                <c:pt idx="0">
                  <c:v>0.0250269489414695</c:v>
                </c:pt>
                <c:pt idx="1">
                  <c:v>0.0050053897882939</c:v>
                </c:pt>
                <c:pt idx="2" formatCode="0.0%">
                  <c:v>0.0050053897882939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</c:strCache>
            </c:strRef>
          </c:tx>
          <c:spPr>
            <a:solidFill>
              <a:srgbClr val="F2088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V.Poor!$A$14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V.Poor!$A$15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V.Poor!$A$16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V.Poor!$A$17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V.Poor!$A$18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V.Poor!$A$19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V.Poor!$A$20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V.Poor!$A$21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V.Poor!$A$22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V.Poor!$K$26:$M$26</c:f>
              <c:numCache>
                <c:formatCode>0%</c:formatCode>
                <c:ptCount val="3"/>
                <c:pt idx="0">
                  <c:v>0.119047619047619</c:v>
                </c:pt>
                <c:pt idx="1">
                  <c:v>0.119047619047619</c:v>
                </c:pt>
                <c:pt idx="2" formatCode="0.0%">
                  <c:v>0.119047619047619</c:v>
                </c:pt>
              </c:numCache>
            </c:numRef>
          </c:val>
        </c:ser>
        <c:ser>
          <c:idx val="21"/>
          <c:order val="21"/>
          <c:tx>
            <c:strRef>
              <c:f>V.Poor!$A$27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V.Poor!$K$27:$M$27</c:f>
              <c:numCache>
                <c:formatCode>0%</c:formatCode>
                <c:ptCount val="3"/>
                <c:pt idx="0">
                  <c:v>0.0303004846112791</c:v>
                </c:pt>
                <c:pt idx="1">
                  <c:v>0.0303004846112791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V.Poor!$K$29:$M$29</c:f>
              <c:numCache>
                <c:formatCode>0%</c:formatCode>
                <c:ptCount val="3"/>
                <c:pt idx="0">
                  <c:v>0.217287545988258</c:v>
                </c:pt>
                <c:pt idx="1">
                  <c:v>0.217287545988258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V.Poor!$K$30:$M$30</c:f>
              <c:numCache>
                <c:formatCode>0%</c:formatCode>
                <c:ptCount val="3"/>
                <c:pt idx="0">
                  <c:v>0.689398592278954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77556568"/>
        <c:axId val="-2077553240"/>
      </c:barChart>
      <c:catAx>
        <c:axId val="-2077556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775532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775532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4319877515310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7755656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'Poor'</a:t>
            </a:r>
          </a:p>
        </c:rich>
      </c:tx>
      <c:layout/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(Poor!$AA$6,Poor!$AC$6,Poor!$AE$6,Poor!$AG$6)</c:f>
              <c:numCache>
                <c:formatCode>0.0%</c:formatCode>
                <c:ptCount val="4"/>
                <c:pt idx="0">
                  <c:v>0.00319146948941469</c:v>
                </c:pt>
                <c:pt idx="1">
                  <c:v>0.00319146948941469</c:v>
                </c:pt>
                <c:pt idx="2">
                  <c:v>0.00619520547945205</c:v>
                </c:pt>
                <c:pt idx="3">
                  <c:v>0.00619520547945205</c:v>
                </c:pt>
              </c:numCache>
            </c:numRef>
          </c:val>
        </c:ser>
        <c:ser>
          <c:idx val="12"/>
          <c:order val="1"/>
          <c:tx>
            <c:strRef>
              <c:f>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(Poor!$AA$7,Poor!$AC$7,Poor!$AE$7,Poor!$AG$7)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0.0199954894146949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(Poor!$AA$8,Poor!$AC$8,Poor!$AE$8,Poor!$AG$8)</c:f>
              <c:numCache>
                <c:formatCode>0.0%</c:formatCode>
                <c:ptCount val="4"/>
                <c:pt idx="0">
                  <c:v>0.231378053424657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(Poor!$AA$9,Poor!$AC$9,Poor!$AE$9,Poor!$AG$9)</c:f>
              <c:numCache>
                <c:formatCode>0.0%</c:formatCode>
                <c:ptCount val="4"/>
                <c:pt idx="0">
                  <c:v>0.022094103362391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(Poor!$AA$10,Poor!$AC$10,Poor!$AE$10,Poor!$AG$10)</c:f>
              <c:numCache>
                <c:formatCode>0.0%</c:formatCode>
                <c:ptCount val="4"/>
                <c:pt idx="0">
                  <c:v>0.0249643815691158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(Poor!$AA$11,Poor!$AC$11,Poor!$AE$11,Poor!$AG$11)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(Poor!$AA$12,Poor!$AC$12,Poor!$AE$12,Poor!$AG$12)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(Poor!$AA$13,Poor!$AC$13,Poor!$AE$13,Poor!$AG$13)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Poor!$A$14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(Poor!$AA$14,Poor!$AC$14,Poor!$AE$14,Poor!$AG$14)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Poor!$A$15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(Poor!$AA$15,Poor!$AC$15,Poor!$AE$15,Poor!$AG$15)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Poor!$A$16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(Poor!$AA$16,Poor!$AC$16,Poor!$AE$16,Poor!$AG$16)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Poor!$A$17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(Poor!$AA$17,Poor!$AC$17,Poor!$AE$17,Poor!$AG$17)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(Poor!$AA$28,Poor!$AC$28,Poor!$AE$28,Poor!$AG$28)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(Poor!$AA$29,Poor!$AC$29,Poor!$AE$29,Poor!$AG$29)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(Poor!$AA$30,Poor!$AC$30,Poor!$AE$30,Poor!$AG$30)</c:f>
              <c:numCache>
                <c:formatCode>0.0%;[Red]"Adjust!"</c:formatCode>
                <c:ptCount val="4"/>
                <c:pt idx="0">
                  <c:v>-0.0323019347790327</c:v>
                </c:pt>
                <c:pt idx="1">
                  <c:v>-0.934878909818274</c:v>
                </c:pt>
                <c:pt idx="2">
                  <c:v>-0.891629357106753</c:v>
                </c:pt>
                <c:pt idx="3">
                  <c:v>-0.913254133462513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77534376"/>
        <c:axId val="-2077530968"/>
      </c:barChart>
      <c:catAx>
        <c:axId val="-2077534376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77530968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775309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849748289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7753437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2950819672131"/>
          <c:y val="0.0984251968503937"/>
          <c:w val="0.321311475409836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'Very Poor'</a:t>
            </a:r>
          </a:p>
        </c:rich>
      </c:tx>
      <c:layout/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(V.Poor!$AA$6,V.Poor!$AC$6,V.Poor!$AE$6,V.Poor!$AG$6)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V.Poor!$A$7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(V.Poor!$AA$7,V.Poor!$AC$7,V.Poor!$AE$7,V.Poor!$AG$7)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0.00810024017078812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(V.Poor!$AA$8,V.Poor!$AC$8,V.Poor!$AE$8,V.Poor!$AG$8)</c:f>
              <c:numCache>
                <c:formatCode>0.0%</c:formatCode>
                <c:ptCount val="4"/>
                <c:pt idx="0">
                  <c:v>0.0551576078277886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(V.Poor!$AA$9,V.Poor!$AC$9,V.Poor!$AE$9,V.Poor!$AG$9)</c:f>
              <c:numCache>
                <c:formatCode>0.0%</c:formatCode>
                <c:ptCount val="4"/>
                <c:pt idx="0">
                  <c:v>0.010100161537093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(V.Poor!$AA$10,V.Poor!$AC$10,V.Poor!$AE$10,V.Poor!$AG$10)</c:f>
              <c:numCache>
                <c:formatCode>0.0%</c:formatCode>
                <c:ptCount val="4"/>
                <c:pt idx="0">
                  <c:v>0.0200215591531756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</c:strCache>
            </c:strRef>
          </c:tx>
          <c:spPr>
            <a:solidFill>
              <a:srgbClr val="F2DCD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(V.Poor!$AA$11,V.Poor!$AC$11,V.Poor!$AE$11,V.Poor!$AG$11)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(V.Poor!$AA$12,V.Poor!$AC$12,V.Poor!$AE$12,V.Poor!$AG$12)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(V.Poor!$AA$13,V.Poor!$AC$13,V.Poor!$AE$13,V.Poor!$AG$13)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V.Poor!$A$14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(V.Poor!$AA$14,V.Poor!$AC$14,V.Poor!$AE$14,V.Poor!$AG$14)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V.Poor!$A$15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(V.Poor!$AA$15,V.Poor!$AC$15,V.Poor!$AE$15,V.Poor!$AG$15)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V.Poor!$A$24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(V.Poor!$AA$24,V.Poor!$AC$24,V.Poor!$AE$24,V.Poor!$AG$24)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V.Poor!$A$25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(V.Poor!$AA$25,V.Poor!$AC$25,V.Poor!$AE$25,V.Poor!$AG$25)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(V.Poor!$AA$28,V.Poor!$AC$28,V.Poor!$AE$28,V.Poor!$AG$28)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(V.Poor!$AA$29,V.Poor!$AC$29,V.Poor!$AE$29,V.Poor!$AG$29)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(V.Poor!$AA$30,V.Poor!$AC$30,V.Poor!$AE$30,V.Poor!$AG$30)</c:f>
              <c:numCache>
                <c:formatCode>0.0%;[Red]"Adjust!"</c:formatCode>
                <c:ptCount val="4"/>
                <c:pt idx="0">
                  <c:v>0.117170982090906</c:v>
                </c:pt>
                <c:pt idx="1">
                  <c:v>-0.0390569940303021</c:v>
                </c:pt>
                <c:pt idx="2">
                  <c:v>-0.0390569940303021</c:v>
                </c:pt>
                <c:pt idx="3">
                  <c:v>-0.0390569940303021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77389960"/>
        <c:axId val="-2077386584"/>
      </c:barChart>
      <c:catAx>
        <c:axId val="-2077389960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77386584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773865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90880551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7738996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1835211775"/>
          <c:y val="0.0984251968503937"/>
          <c:w val="0.320261695229273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'Middle'</a:t>
            </a:r>
          </a:p>
        </c:rich>
      </c:tx>
      <c:layout/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(Middle!$AA$6,Middle!$AC$6,Middle!$AE$6,Middle!$AG$6)</c:f>
              <c:numCache>
                <c:formatCode>0.0%</c:formatCode>
                <c:ptCount val="4"/>
                <c:pt idx="0">
                  <c:v>0.0109421811065647</c:v>
                </c:pt>
                <c:pt idx="1">
                  <c:v>0.0109421811065647</c:v>
                </c:pt>
                <c:pt idx="2">
                  <c:v>0.0212407045009785</c:v>
                </c:pt>
                <c:pt idx="3">
                  <c:v>0.0212407045009785</c:v>
                </c:pt>
              </c:numCache>
            </c:numRef>
          </c:val>
        </c:ser>
        <c:ser>
          <c:idx val="12"/>
          <c:order val="1"/>
          <c:tx>
            <c:strRef>
              <c:f>Middle!$A$7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(Middle!$AA$7,Middle!$AC$7,Middle!$AE$7,Middle!$AG$7)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0.0482066706991638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solidFill>
                <a:srgbClr val="66FF33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(Middle!$AA$8,Middle!$AC$8,Middle!$AE$8,Middle!$AG$8)</c:f>
              <c:numCache>
                <c:formatCode>0.0%</c:formatCode>
                <c:ptCount val="4"/>
                <c:pt idx="0">
                  <c:v>0.468129669141311</c:v>
                </c:pt>
                <c:pt idx="1">
                  <c:v>0.468129669141311</c:v>
                </c:pt>
                <c:pt idx="2">
                  <c:v>0.0671778813730224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(Middle!$AA$9,Middle!$AC$9,Middle!$AE$9,Middle!$AG$9)</c:f>
              <c:numCache>
                <c:formatCode>0.0%</c:formatCode>
                <c:ptCount val="4"/>
                <c:pt idx="0">
                  <c:v>0.0117799728423861</c:v>
                </c:pt>
                <c:pt idx="1">
                  <c:v>0.0117799728423861</c:v>
                </c:pt>
                <c:pt idx="2">
                  <c:v>0.00169045815796041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(Middle!$AA$10,Middle!$AC$10,Middle!$AE$10,Middle!$AG$10)</c:f>
              <c:numCache>
                <c:formatCode>0.0%</c:formatCode>
                <c:ptCount val="4"/>
                <c:pt idx="0">
                  <c:v>0.174793588091873</c:v>
                </c:pt>
                <c:pt idx="1">
                  <c:v>0.174793588091873</c:v>
                </c:pt>
                <c:pt idx="2">
                  <c:v>0.0250833555308288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(Middle!$AA$11,Middle!$AC$11,Middle!$AE$11,Middle!$AG$11)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(Middle!$AA$12,Middle!$AC$12,Middle!$AE$12,Middle!$AG$12)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(Middle!$AA$13,Middle!$AC$13,Middle!$AE$13,Middle!$AG$13)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Middle!$A$14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(Middle!$AA$14,Middle!$AC$14,Middle!$AE$14,Middle!$AG$14)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Middle!$A$15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(Middle!$AA$15,Middle!$AC$15,Middle!$AE$15,Middle!$AG$15)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Middle!$A$16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(Middle!$AA$16,Middle!$AC$16,Middle!$AE$16,Middle!$AG$16)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Middle!$A$17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(Middle!$AA$17,Middle!$AC$17,Middle!$AE$17,Middle!$AG$17)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(Middle!$AA$28,Middle!$AC$28,Middle!$AE$28,Middle!$AG$28)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(Middle!$AA$29,Middle!$AC$29,Middle!$AE$29,Middle!$AG$29)</c:f>
              <c:numCache>
                <c:formatCode>0.0%</c:formatCode>
                <c:ptCount val="4"/>
                <c:pt idx="0">
                  <c:v>0.217383588493726</c:v>
                </c:pt>
                <c:pt idx="1">
                  <c:v>0.217383588493726</c:v>
                </c:pt>
                <c:pt idx="2">
                  <c:v>0.217383588493726</c:v>
                </c:pt>
                <c:pt idx="3">
                  <c:v>0.217383588493726</c:v>
                </c:pt>
              </c:numCache>
            </c:numRef>
          </c:val>
        </c:ser>
        <c:ser>
          <c:idx val="13"/>
          <c:order val="1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(Middle!$AA$30,Middle!$AC$30,Middle!$AE$30,Middle!$AG$30)</c:f>
              <c:numCache>
                <c:formatCode>0.0%;[Red]"Adjust!"</c:formatCode>
                <c:ptCount val="4"/>
                <c:pt idx="0">
                  <c:v>1.11022302462516E-16</c:v>
                </c:pt>
                <c:pt idx="1">
                  <c:v>1.11022302462516E-16</c:v>
                </c:pt>
                <c:pt idx="2">
                  <c:v>0.550453011619345</c:v>
                </c:pt>
                <c:pt idx="3">
                  <c:v>0.596198035981993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77279384"/>
        <c:axId val="-2077276008"/>
      </c:barChart>
      <c:catAx>
        <c:axId val="-2077279384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77276008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772760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7727938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2362204724409"/>
          <c:w val="0.319078688354745"/>
          <c:h val="0.7322825345650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'Better-off'</a:t>
            </a:r>
          </a:p>
        </c:rich>
      </c:tx>
      <c:layout/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(Rich!$AA$6,Rich!$AC$6,Rich!$AE$6,Rich!$AG$6)</c:f>
              <c:numCache>
                <c:formatCode>0.0%</c:formatCode>
                <c:ptCount val="4"/>
                <c:pt idx="0">
                  <c:v>0.0114892901618929</c:v>
                </c:pt>
                <c:pt idx="1">
                  <c:v>0.0114892901618929</c:v>
                </c:pt>
                <c:pt idx="2">
                  <c:v>0.0223027397260274</c:v>
                </c:pt>
                <c:pt idx="3">
                  <c:v>0.0223027397260274</c:v>
                </c:pt>
              </c:numCache>
            </c:numRef>
          </c:val>
        </c:ser>
        <c:ser>
          <c:idx val="12"/>
          <c:order val="1"/>
          <c:tx>
            <c:strRef>
              <c:f>Rich!$A$7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(Rich!$AA$7,Rich!$AC$7,Rich!$AE$7,Rich!$AG$7)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0.0705316774595268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(Rich!$AA$8,Rich!$AC$8,Rich!$AE$8,Rich!$AG$8)</c:f>
              <c:numCache>
                <c:formatCode>0.0%</c:formatCode>
                <c:ptCount val="4"/>
                <c:pt idx="0">
                  <c:v>0.117388847714011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(Rich!$AA$9,Rich!$AC$9,Rich!$AE$9,Rich!$AG$9)</c:f>
              <c:numCache>
                <c:formatCode>0.0%</c:formatCode>
                <c:ptCount val="4"/>
                <c:pt idx="0">
                  <c:v>0.0441882067247821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(Rich!$AA$10,Rich!$AC$10,Rich!$AE$10,Rich!$AG$10)</c:f>
              <c:numCache>
                <c:formatCode>0.0%</c:formatCode>
                <c:ptCount val="4"/>
                <c:pt idx="0">
                  <c:v>0.0292164014341298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(Rich!$AA$11,Rich!$AC$11,Rich!$AE$11,Rich!$AG$11)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(Rich!$AA$12,Rich!$AC$12,Rich!$AE$12,Rich!$AG$12)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(Rich!$AA$13,Rich!$AC$13,Rich!$AE$13,Rich!$AG$13)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Rich!$A$14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(Rich!$AA$14,Rich!$AC$14,Rich!$AE$14,Rich!$AG$14)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Rich!$A$15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(Rich!$AA$15,Rich!$AC$15,Rich!$AE$15,Rich!$AG$15)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Rich!$A$16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(Rich!$AA$16,Rich!$AC$16,Rich!$AE$16,Rich!$AG$16)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Rich!$A$17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(Rich!$AA$17,Rich!$AC$17,Rich!$AE$17,Rich!$AG$17)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(Rich!$AA$28,Rich!$AC$28,Rich!$AE$28,Rich!$AG$28)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(Rich!$AA$29,Rich!$AC$29,Rich!$AE$29,Rich!$AG$29)</c:f>
              <c:numCache>
                <c:formatCode>0.0%</c:formatCode>
                <c:ptCount val="4"/>
                <c:pt idx="0">
                  <c:v>0.456923340051697</c:v>
                </c:pt>
                <c:pt idx="1">
                  <c:v>0.456923340051697</c:v>
                </c:pt>
                <c:pt idx="2">
                  <c:v>0.456923340051697</c:v>
                </c:pt>
                <c:pt idx="3">
                  <c:v>0.456923340051697</c:v>
                </c:pt>
              </c:numCache>
            </c:numRef>
          </c:val>
        </c:ser>
        <c:ser>
          <c:idx val="13"/>
          <c:order val="1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(Rich!$AA$30,Rich!$AC$30,Rich!$AE$30,Rich!$AG$30)</c:f>
              <c:numCache>
                <c:formatCode>0.0%;[Red]"Adjust!"</c:formatCode>
                <c:ptCount val="4"/>
                <c:pt idx="0">
                  <c:v>0.3090976019198</c:v>
                </c:pt>
                <c:pt idx="1">
                  <c:v>0.499891057792723</c:v>
                </c:pt>
                <c:pt idx="2">
                  <c:v>0.489077608228589</c:v>
                </c:pt>
                <c:pt idx="3">
                  <c:v>0.418545930769062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76108664"/>
        <c:axId val="-2076105288"/>
      </c:barChart>
      <c:catAx>
        <c:axId val="-2076108664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76105288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761052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67623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7610866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1960784313725"/>
          <c:w val="0.319078688354745"/>
          <c:h val="0.72941145592095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Poor!$K$37:$M$37</c:f>
              <c:numCache>
                <c:formatCode>0%</c:formatCode>
                <c:ptCount val="3"/>
                <c:pt idx="0">
                  <c:v>0.126627396540727</c:v>
                </c:pt>
                <c:pt idx="1">
                  <c:v>0.074710163959029</c:v>
                </c:pt>
                <c:pt idx="2">
                  <c:v>0.074710163959029</c:v>
                </c:pt>
              </c:numCache>
            </c:numRef>
          </c:val>
        </c:ser>
        <c:ser>
          <c:idx val="1"/>
          <c:order val="1"/>
          <c:tx>
            <c:strRef>
              <c:f>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Poor!$K$38:$M$38</c:f>
              <c:numCache>
                <c:formatCode>0%</c:formatCode>
                <c:ptCount val="3"/>
                <c:pt idx="0">
                  <c:v>0.0562788429069898</c:v>
                </c:pt>
                <c:pt idx="1">
                  <c:v>0.033204517315124</c:v>
                </c:pt>
                <c:pt idx="2">
                  <c:v>0.00553408621918733</c:v>
                </c:pt>
              </c:numCache>
            </c:numRef>
          </c:val>
        </c:ser>
        <c:ser>
          <c:idx val="2"/>
          <c:order val="2"/>
          <c:tx>
            <c:strRef>
              <c:f>Poor!$A$39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Poor!$A$40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Poor!$K$42:$M$42</c:f>
              <c:numCache>
                <c:formatCode>0%</c:formatCode>
                <c:ptCount val="3"/>
                <c:pt idx="0">
                  <c:v>0.0281394214534949</c:v>
                </c:pt>
                <c:pt idx="1">
                  <c:v>0.00787903800697857</c:v>
                </c:pt>
                <c:pt idx="2">
                  <c:v>0.00787903800697857</c:v>
                </c:pt>
              </c:numCache>
            </c:numRef>
          </c:val>
        </c:ser>
        <c:ser>
          <c:idx val="6"/>
          <c:order val="6"/>
          <c:tx>
            <c:strRef>
              <c:f>Poor!$A$43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Poor!$K$43:$M$43</c:f>
              <c:numCache>
                <c:formatCode>0%</c:formatCode>
                <c:ptCount val="3"/>
                <c:pt idx="0">
                  <c:v>0.00300153828837279</c:v>
                </c:pt>
                <c:pt idx="1">
                  <c:v>0.000840430720744381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Poor!$A$44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Poor!$K$44:$M$44</c:f>
              <c:numCache>
                <c:formatCode>0%</c:formatCode>
                <c:ptCount val="3"/>
                <c:pt idx="0">
                  <c:v>0.0517765354744306</c:v>
                </c:pt>
                <c:pt idx="1">
                  <c:v>0.028735977188309</c:v>
                </c:pt>
                <c:pt idx="2">
                  <c:v>0.028735977188309</c:v>
                </c:pt>
              </c:numCache>
            </c:numRef>
          </c:val>
        </c:ser>
        <c:ser>
          <c:idx val="8"/>
          <c:order val="8"/>
          <c:tx>
            <c:strRef>
              <c:f>Poor!$A$45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Poor!$A$46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Poor!$K$46:$M$46</c:f>
              <c:numCache>
                <c:formatCode>0%</c:formatCode>
                <c:ptCount val="3"/>
                <c:pt idx="0">
                  <c:v>0.0412711514651259</c:v>
                </c:pt>
                <c:pt idx="1">
                  <c:v>0.0229054890631449</c:v>
                </c:pt>
                <c:pt idx="2">
                  <c:v>0.0229054890631449</c:v>
                </c:pt>
              </c:numCache>
            </c:numRef>
          </c:val>
        </c:ser>
        <c:ser>
          <c:idx val="10"/>
          <c:order val="10"/>
          <c:tx>
            <c:strRef>
              <c:f>Poor!$A$47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Poor!$A$48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Poor!$A$49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Poor!$K$49:$M$49</c:f>
              <c:numCache>
                <c:formatCode>0%</c:formatCode>
                <c:ptCount val="3"/>
                <c:pt idx="0">
                  <c:v>0.413086706937305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Poor!$A$50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Poor!$K$50:$M$50</c:f>
              <c:numCache>
                <c:formatCode>0%</c:formatCode>
                <c:ptCount val="3"/>
                <c:pt idx="0">
                  <c:v>0.279818406933553</c:v>
                </c:pt>
                <c:pt idx="1">
                  <c:v>0.330185720181593</c:v>
                </c:pt>
                <c:pt idx="2">
                  <c:v>0.330185720181593</c:v>
                </c:pt>
              </c:numCache>
            </c:numRef>
          </c:val>
        </c:ser>
        <c:ser>
          <c:idx val="14"/>
          <c:order val="14"/>
          <c:tx>
            <c:strRef>
              <c:f>Poor!$A$51</c:f>
              <c:strCache>
                <c:ptCount val="1"/>
                <c:pt idx="0">
                  <c:v>Gifts/social support: type (Child support, Pension and Foster Care)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Poor!$A$52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Poor!$A$53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Poor!$A$60</c:f>
              <c:strCache>
                <c:ptCount val="1"/>
              </c:strCache>
            </c:strRef>
          </c:tx>
          <c:invertIfNegative val="0"/>
          <c:val>
            <c:numRef>
              <c:f>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Poor!$A$61</c:f>
              <c:strCache>
                <c:ptCount val="1"/>
              </c:strCache>
            </c:strRef>
          </c:tx>
          <c:invertIfNegative val="0"/>
          <c:val>
            <c:numRef>
              <c:f>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Poor!$A$62</c:f>
              <c:strCache>
                <c:ptCount val="1"/>
              </c:strCache>
            </c:strRef>
          </c:tx>
          <c:invertIfNegative val="0"/>
          <c:val>
            <c:numRef>
              <c:f>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Poor!$A$63</c:f>
              <c:strCache>
                <c:ptCount val="1"/>
              </c:strCache>
            </c:strRef>
          </c:tx>
          <c:invertIfNegative val="0"/>
          <c:val>
            <c:numRef>
              <c:f>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Poor!$A$64</c:f>
              <c:strCache>
                <c:ptCount val="1"/>
              </c:strCache>
            </c:strRef>
          </c:tx>
          <c:invertIfNegative val="0"/>
          <c:val>
            <c:numRef>
              <c:f>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78651320"/>
        <c:axId val="-2078648328"/>
      </c:barChart>
      <c:catAx>
        <c:axId val="-2078651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786483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786483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8547586061764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7865132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8" Type="http://schemas.openxmlformats.org/officeDocument/2006/relationships/chart" Target="../charts/chart16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4" Type="http://schemas.openxmlformats.org/officeDocument/2006/relationships/chart" Target="../charts/chart20.xml"/><Relationship Id="rId1" Type="http://schemas.openxmlformats.org/officeDocument/2006/relationships/chart" Target="../charts/chart17.xml"/><Relationship Id="rId2" Type="http://schemas.openxmlformats.org/officeDocument/2006/relationships/chart" Target="../charts/chart1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4" Type="http://schemas.openxmlformats.org/officeDocument/2006/relationships/chart" Target="../charts/chart24.xml"/><Relationship Id="rId1" Type="http://schemas.openxmlformats.org/officeDocument/2006/relationships/chart" Target="../charts/chart21.xml"/><Relationship Id="rId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8258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705557</xdr:colOff>
      <xdr:row>3</xdr:row>
      <xdr:rowOff>12700</xdr:rowOff>
    </xdr:from>
    <xdr:to>
      <xdr:col>16</xdr:col>
      <xdr:colOff>310445</xdr:colOff>
      <xdr:row>33</xdr:row>
      <xdr:rowOff>98778</xdr:rowOff>
    </xdr:to>
    <xdr:graphicFrame macro="">
      <xdr:nvGraphicFramePr>
        <xdr:cNvPr id="1548258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169333</xdr:colOff>
      <xdr:row>3</xdr:row>
      <xdr:rowOff>0</xdr:rowOff>
    </xdr:from>
    <xdr:to>
      <xdr:col>21</xdr:col>
      <xdr:colOff>550333</xdr:colOff>
      <xdr:row>33</xdr:row>
      <xdr:rowOff>12700</xdr:rowOff>
    </xdr:to>
    <xdr:graphicFrame macro="">
      <xdr:nvGraphicFramePr>
        <xdr:cNvPr id="1548258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8258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546100</xdr:colOff>
      <xdr:row>33</xdr:row>
      <xdr:rowOff>165100</xdr:rowOff>
    </xdr:from>
    <xdr:to>
      <xdr:col>10</xdr:col>
      <xdr:colOff>546100</xdr:colOff>
      <xdr:row>50</xdr:row>
      <xdr:rowOff>152400</xdr:rowOff>
    </xdr:to>
    <xdr:graphicFrame macro="">
      <xdr:nvGraphicFramePr>
        <xdr:cNvPr id="1548258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495300</xdr:colOff>
      <xdr:row>33</xdr:row>
      <xdr:rowOff>114300</xdr:rowOff>
    </xdr:from>
    <xdr:to>
      <xdr:col>5</xdr:col>
      <xdr:colOff>101600</xdr:colOff>
      <xdr:row>50</xdr:row>
      <xdr:rowOff>101600</xdr:rowOff>
    </xdr:to>
    <xdr:graphicFrame macro="">
      <xdr:nvGraphicFramePr>
        <xdr:cNvPr id="154825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38100</xdr:colOff>
      <xdr:row>34</xdr:row>
      <xdr:rowOff>12700</xdr:rowOff>
    </xdr:from>
    <xdr:to>
      <xdr:col>16</xdr:col>
      <xdr:colOff>25400</xdr:colOff>
      <xdr:row>51</xdr:row>
      <xdr:rowOff>0</xdr:rowOff>
    </xdr:to>
    <xdr:graphicFrame macro="">
      <xdr:nvGraphicFramePr>
        <xdr:cNvPr id="1548259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88900</xdr:colOff>
      <xdr:row>34</xdr:row>
      <xdr:rowOff>25400</xdr:rowOff>
    </xdr:from>
    <xdr:to>
      <xdr:col>21</xdr:col>
      <xdr:colOff>76200</xdr:colOff>
      <xdr:row>51</xdr:row>
      <xdr:rowOff>25400</xdr:rowOff>
    </xdr:to>
    <xdr:graphicFrame macro="">
      <xdr:nvGraphicFramePr>
        <xdr:cNvPr id="1548259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63454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3</xdr:row>
      <xdr:rowOff>12700</xdr:rowOff>
    </xdr:from>
    <xdr:to>
      <xdr:col>16</xdr:col>
      <xdr:colOff>228600</xdr:colOff>
      <xdr:row>35</xdr:row>
      <xdr:rowOff>165100</xdr:rowOff>
    </xdr:to>
    <xdr:graphicFrame macro="">
      <xdr:nvGraphicFramePr>
        <xdr:cNvPr id="163454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63454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634547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520700</xdr:colOff>
      <xdr:row>55</xdr:row>
      <xdr:rowOff>165100</xdr:rowOff>
    </xdr:from>
    <xdr:to>
      <xdr:col>19</xdr:col>
      <xdr:colOff>127000</xdr:colOff>
      <xdr:row>80</xdr:row>
      <xdr:rowOff>88900</xdr:rowOff>
    </xdr:to>
    <xdr:graphicFrame macro="">
      <xdr:nvGraphicFramePr>
        <xdr:cNvPr id="1634547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596900</xdr:colOff>
      <xdr:row>81</xdr:row>
      <xdr:rowOff>12700</xdr:rowOff>
    </xdr:from>
    <xdr:to>
      <xdr:col>17</xdr:col>
      <xdr:colOff>635000</xdr:colOff>
      <xdr:row>104</xdr:row>
      <xdr:rowOff>0</xdr:rowOff>
    </xdr:to>
    <xdr:graphicFrame macro="">
      <xdr:nvGraphicFramePr>
        <xdr:cNvPr id="1634547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635000</xdr:colOff>
      <xdr:row>133</xdr:row>
      <xdr:rowOff>63500</xdr:rowOff>
    </xdr:from>
    <xdr:to>
      <xdr:col>16</xdr:col>
      <xdr:colOff>673100</xdr:colOff>
      <xdr:row>153</xdr:row>
      <xdr:rowOff>101600</xdr:rowOff>
    </xdr:to>
    <xdr:graphicFrame macro="">
      <xdr:nvGraphicFramePr>
        <xdr:cNvPr id="1634547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0</xdr:colOff>
      <xdr:row>105</xdr:row>
      <xdr:rowOff>0</xdr:rowOff>
    </xdr:from>
    <xdr:to>
      <xdr:col>19</xdr:col>
      <xdr:colOff>381000</xdr:colOff>
      <xdr:row>129</xdr:row>
      <xdr:rowOff>114300</xdr:rowOff>
    </xdr:to>
    <xdr:graphicFrame macro="">
      <xdr:nvGraphicFramePr>
        <xdr:cNvPr id="9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9860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3</xdr:row>
      <xdr:rowOff>12700</xdr:rowOff>
    </xdr:from>
    <xdr:to>
      <xdr:col>16</xdr:col>
      <xdr:colOff>12700</xdr:colOff>
      <xdr:row>33</xdr:row>
      <xdr:rowOff>12700</xdr:rowOff>
    </xdr:to>
    <xdr:graphicFrame macro="">
      <xdr:nvGraphicFramePr>
        <xdr:cNvPr id="1549860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549860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9860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72</xdr:row>
      <xdr:rowOff>114300</xdr:rowOff>
    </xdr:from>
    <xdr:to>
      <xdr:col>15</xdr:col>
      <xdr:colOff>63500</xdr:colOff>
      <xdr:row>103</xdr:row>
      <xdr:rowOff>38100</xdr:rowOff>
    </xdr:to>
    <xdr:graphicFrame macro="">
      <xdr:nvGraphicFramePr>
        <xdr:cNvPr id="1550372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571500</xdr:colOff>
      <xdr:row>72</xdr:row>
      <xdr:rowOff>127000</xdr:rowOff>
    </xdr:from>
    <xdr:to>
      <xdr:col>29</xdr:col>
      <xdr:colOff>419100</xdr:colOff>
      <xdr:row>103</xdr:row>
      <xdr:rowOff>63500</xdr:rowOff>
    </xdr:to>
    <xdr:graphicFrame macro="">
      <xdr:nvGraphicFramePr>
        <xdr:cNvPr id="155037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63500</xdr:colOff>
      <xdr:row>104</xdr:row>
      <xdr:rowOff>38100</xdr:rowOff>
    </xdr:from>
    <xdr:to>
      <xdr:col>18</xdr:col>
      <xdr:colOff>228600</xdr:colOff>
      <xdr:row>132</xdr:row>
      <xdr:rowOff>76200</xdr:rowOff>
    </xdr:to>
    <xdr:graphicFrame macro="">
      <xdr:nvGraphicFramePr>
        <xdr:cNvPr id="155037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25400</xdr:colOff>
      <xdr:row>73</xdr:row>
      <xdr:rowOff>12700</xdr:rowOff>
    </xdr:from>
    <xdr:to>
      <xdr:col>43</xdr:col>
      <xdr:colOff>533400</xdr:colOff>
      <xdr:row>103</xdr:row>
      <xdr:rowOff>50800</xdr:rowOff>
    </xdr:to>
    <xdr:graphicFrame macro="">
      <xdr:nvGraphicFramePr>
        <xdr:cNvPr id="155037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zakhc_baselin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zakhc_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uide"/>
      <sheetName val="WB"/>
      <sheetName val="Data"/>
      <sheetName val="Data 2"/>
      <sheetName val="Data 3"/>
      <sheetName val="Data 4"/>
      <sheetName val="Summ"/>
      <sheetName val="Exp factors"/>
      <sheetName val="Methods"/>
      <sheetName val="Graphs"/>
      <sheetName val="Sesonal Calendar"/>
      <sheetName val="Prices"/>
      <sheetName val="Production"/>
      <sheetName val="Timeline"/>
      <sheetName val="Coping"/>
      <sheetName val="Development"/>
      <sheetName val="Sheet12"/>
      <sheetName val="Sheet1"/>
      <sheetName val="zakhc_baseline.xlsx"/>
    </sheetNames>
    <definedNames>
      <definedName name="wb_summary" refersTo="='WB'!$CK$9"/>
    </definedNames>
    <sheetDataSet>
      <sheetData sheetId="0"/>
      <sheetData sheetId="1">
        <row r="1">
          <cell r="B1" t="str">
            <v>ZAKHC</v>
          </cell>
          <cell r="D1">
            <v>59208</v>
          </cell>
        </row>
        <row r="2">
          <cell r="A2" t="str">
            <v>Okhahlamba open access intense crops and livestock</v>
          </cell>
        </row>
        <row r="9">
          <cell r="CK9">
            <v>0.5</v>
          </cell>
        </row>
        <row r="10">
          <cell r="CK10">
            <v>0.25</v>
          </cell>
        </row>
        <row r="11">
          <cell r="CK11">
            <v>0.15</v>
          </cell>
        </row>
        <row r="12">
          <cell r="CK12">
            <v>0.1</v>
          </cell>
        </row>
      </sheetData>
      <sheetData sheetId="2"/>
      <sheetData sheetId="3"/>
      <sheetData sheetId="4"/>
      <sheetData sheetId="5"/>
      <sheetData sheetId="6">
        <row r="1">
          <cell r="P1">
            <v>8800</v>
          </cell>
        </row>
        <row r="892">
          <cell r="H892">
            <v>0</v>
          </cell>
          <cell r="I892">
            <v>0</v>
          </cell>
          <cell r="J892">
            <v>0</v>
          </cell>
          <cell r="K892">
            <v>0</v>
          </cell>
        </row>
        <row r="1031">
          <cell r="C1031">
            <v>13068.858465770903</v>
          </cell>
          <cell r="E1031">
            <v>14935.838246595316</v>
          </cell>
          <cell r="H1031">
            <v>13068.858465770902</v>
          </cell>
          <cell r="J1031">
            <v>14935.838246595322</v>
          </cell>
        </row>
        <row r="1032">
          <cell r="C1032">
            <v>13631.333333333334</v>
          </cell>
          <cell r="E1032">
            <v>15578.666666666668</v>
          </cell>
          <cell r="H1032">
            <v>13631.333333333334</v>
          </cell>
          <cell r="J1032">
            <v>15578.666666666668</v>
          </cell>
        </row>
        <row r="1033">
          <cell r="C1033">
            <v>24276</v>
          </cell>
          <cell r="E1033">
            <v>27744</v>
          </cell>
          <cell r="H1033">
            <v>24276</v>
          </cell>
          <cell r="J1033">
            <v>27744</v>
          </cell>
        </row>
        <row r="1034">
          <cell r="C1034">
            <v>4073</v>
          </cell>
          <cell r="E1034">
            <v>4656</v>
          </cell>
          <cell r="H1034">
            <v>21400</v>
          </cell>
          <cell r="J1034">
            <v>11200</v>
          </cell>
        </row>
        <row r="1037">
          <cell r="C1037" t="str">
            <v>mix</v>
          </cell>
          <cell r="E1037" t="str">
            <v>mix</v>
          </cell>
          <cell r="H1037" t="str">
            <v>mix</v>
          </cell>
          <cell r="J1037" t="str">
            <v>mix</v>
          </cell>
        </row>
        <row r="1038">
          <cell r="C1038">
            <v>0.64638090248077151</v>
          </cell>
          <cell r="E1038">
            <v>0.64638090248077151</v>
          </cell>
          <cell r="H1038">
            <v>0.64638090248077151</v>
          </cell>
          <cell r="J1038">
            <v>0.64638090248077151</v>
          </cell>
        </row>
        <row r="1039">
          <cell r="C1039">
            <v>7</v>
          </cell>
          <cell r="E1039">
            <v>8</v>
          </cell>
          <cell r="H1039">
            <v>7</v>
          </cell>
          <cell r="J1039">
            <v>8</v>
          </cell>
        </row>
        <row r="1040">
          <cell r="C1040">
            <v>6.2365204888569377</v>
          </cell>
          <cell r="E1040">
            <v>6.2365204888569377</v>
          </cell>
          <cell r="H1040">
            <v>6.2365204888569377</v>
          </cell>
          <cell r="J1040">
            <v>6.2365204888569377</v>
          </cell>
        </row>
        <row r="1044">
          <cell r="A1044" t="str">
            <v>Cows' milk - season 1</v>
          </cell>
          <cell r="C1044">
            <v>0</v>
          </cell>
          <cell r="D1044">
            <v>0</v>
          </cell>
          <cell r="E1044">
            <v>2.3466687422166871E-2</v>
          </cell>
          <cell r="F1044">
            <v>0</v>
          </cell>
          <cell r="H1044">
            <v>8.0457214018857859E-2</v>
          </cell>
          <cell r="I1044">
            <v>0</v>
          </cell>
          <cell r="J1044">
            <v>8.4480074719800749E-2</v>
          </cell>
          <cell r="K1044">
            <v>0</v>
          </cell>
        </row>
        <row r="1045">
          <cell r="A1045" t="str">
            <v>Own meat</v>
          </cell>
          <cell r="C1045">
            <v>1.0125300213485146E-2</v>
          </cell>
          <cell r="D1045">
            <v>0</v>
          </cell>
          <cell r="E1045">
            <v>2.4994361768368618E-2</v>
          </cell>
          <cell r="F1045">
            <v>0</v>
          </cell>
          <cell r="H1045">
            <v>6.0258338373954806E-2</v>
          </cell>
          <cell r="I1045">
            <v>0</v>
          </cell>
          <cell r="J1045">
            <v>8.816459682440847E-2</v>
          </cell>
          <cell r="K1045">
            <v>0</v>
          </cell>
        </row>
        <row r="1046">
          <cell r="A1046" t="str">
            <v>Maize: kg produced</v>
          </cell>
          <cell r="C1046">
            <v>4.5964673189823876E-2</v>
          </cell>
          <cell r="D1046">
            <v>0</v>
          </cell>
          <cell r="E1046">
            <v>0.19281504452054793</v>
          </cell>
          <cell r="F1046">
            <v>0</v>
          </cell>
          <cell r="H1046">
            <v>6.759510763209392E-2</v>
          </cell>
          <cell r="I1046">
            <v>0.67595107632093931</v>
          </cell>
          <cell r="J1046">
            <v>5.9145719178082187E-2</v>
          </cell>
          <cell r="K1046">
            <v>0.8871857876712328</v>
          </cell>
        </row>
        <row r="1047">
          <cell r="A1047" t="str">
            <v>Beans: kg produced</v>
          </cell>
          <cell r="C1047">
            <v>1.2625201921366307E-2</v>
          </cell>
          <cell r="D1047">
            <v>0</v>
          </cell>
          <cell r="E1047">
            <v>2.761762920298879E-2</v>
          </cell>
          <cell r="F1047">
            <v>0</v>
          </cell>
          <cell r="H1047">
            <v>3.1563004803415763E-2</v>
          </cell>
          <cell r="I1047">
            <v>0</v>
          </cell>
          <cell r="J1047">
            <v>5.523525840597758E-2</v>
          </cell>
          <cell r="K1047">
            <v>0</v>
          </cell>
        </row>
        <row r="1048">
          <cell r="A1048" t="str">
            <v>potatoes: kg produced</v>
          </cell>
          <cell r="C1048">
            <v>2.5026948941469486E-2</v>
          </cell>
          <cell r="D1048">
            <v>0</v>
          </cell>
          <cell r="E1048">
            <v>9.3068966376089659E-3</v>
          </cell>
          <cell r="F1048">
            <v>2.1898580323785805E-2</v>
          </cell>
          <cell r="H1048">
            <v>0.11262127023661268</v>
          </cell>
          <cell r="I1048">
            <v>0.31283686176836861</v>
          </cell>
          <cell r="J1048">
            <v>3.3942799501867994E-2</v>
          </cell>
          <cell r="K1048">
            <v>5.9126166874221654E-2</v>
          </cell>
        </row>
        <row r="1049">
          <cell r="A1049" t="str">
            <v/>
          </cell>
          <cell r="C1049" t="str">
            <v/>
          </cell>
          <cell r="D1049" t="str">
            <v/>
          </cell>
          <cell r="E1049" t="str">
            <v/>
          </cell>
          <cell r="F1049" t="str">
            <v/>
          </cell>
          <cell r="H1049" t="str">
            <v/>
          </cell>
          <cell r="I1049" t="str">
            <v/>
          </cell>
          <cell r="J1049" t="str">
            <v/>
          </cell>
          <cell r="K1049" t="str">
            <v/>
          </cell>
        </row>
        <row r="1050">
          <cell r="A1050" t="str">
            <v/>
          </cell>
          <cell r="C1050" t="str">
            <v/>
          </cell>
          <cell r="D1050" t="str">
            <v/>
          </cell>
          <cell r="E1050" t="str">
            <v/>
          </cell>
          <cell r="F1050" t="str">
            <v/>
          </cell>
          <cell r="H1050" t="str">
            <v/>
          </cell>
          <cell r="I1050" t="str">
            <v/>
          </cell>
          <cell r="J1050" t="str">
            <v/>
          </cell>
          <cell r="K1050" t="str">
            <v/>
          </cell>
        </row>
        <row r="1051">
          <cell r="A1051" t="str">
            <v/>
          </cell>
          <cell r="C1051" t="str">
            <v/>
          </cell>
          <cell r="D1051" t="str">
            <v/>
          </cell>
          <cell r="E1051" t="str">
            <v/>
          </cell>
          <cell r="F1051" t="str">
            <v/>
          </cell>
          <cell r="H1051" t="str">
            <v/>
          </cell>
          <cell r="I1051" t="str">
            <v/>
          </cell>
          <cell r="J1051" t="str">
            <v/>
          </cell>
          <cell r="K1051" t="str">
            <v/>
          </cell>
        </row>
        <row r="1052">
          <cell r="A1052" t="str">
            <v/>
          </cell>
          <cell r="C1052" t="str">
            <v/>
          </cell>
          <cell r="D1052" t="str">
            <v/>
          </cell>
          <cell r="E1052" t="str">
            <v/>
          </cell>
          <cell r="F1052" t="str">
            <v/>
          </cell>
          <cell r="H1052" t="str">
            <v/>
          </cell>
          <cell r="I1052" t="str">
            <v/>
          </cell>
          <cell r="J1052" t="str">
            <v/>
          </cell>
          <cell r="K1052" t="str">
            <v/>
          </cell>
        </row>
        <row r="1053">
          <cell r="A1053" t="str">
            <v/>
          </cell>
          <cell r="C1053" t="str">
            <v/>
          </cell>
          <cell r="D1053" t="str">
            <v/>
          </cell>
          <cell r="E1053" t="str">
            <v/>
          </cell>
          <cell r="F1053" t="str">
            <v/>
          </cell>
          <cell r="H1053" t="str">
            <v/>
          </cell>
          <cell r="I1053" t="str">
            <v/>
          </cell>
          <cell r="J1053" t="str">
            <v/>
          </cell>
          <cell r="K1053" t="str">
            <v/>
          </cell>
        </row>
        <row r="1054">
          <cell r="A1054" t="str">
            <v/>
          </cell>
          <cell r="C1054" t="str">
            <v/>
          </cell>
          <cell r="D1054" t="str">
            <v/>
          </cell>
          <cell r="E1054" t="str">
            <v/>
          </cell>
          <cell r="F1054" t="str">
            <v/>
          </cell>
          <cell r="H1054" t="str">
            <v/>
          </cell>
          <cell r="I1054" t="str">
            <v/>
          </cell>
          <cell r="J1054" t="str">
            <v/>
          </cell>
          <cell r="K1054" t="str">
            <v/>
          </cell>
        </row>
        <row r="1055">
          <cell r="A1055" t="str">
            <v/>
          </cell>
          <cell r="C1055" t="str">
            <v/>
          </cell>
          <cell r="D1055" t="str">
            <v/>
          </cell>
          <cell r="E1055" t="str">
            <v/>
          </cell>
          <cell r="F1055" t="str">
            <v/>
          </cell>
          <cell r="H1055" t="str">
            <v/>
          </cell>
          <cell r="I1055" t="str">
            <v/>
          </cell>
          <cell r="J1055" t="str">
            <v/>
          </cell>
          <cell r="K1055" t="str">
            <v/>
          </cell>
        </row>
        <row r="1056">
          <cell r="A1056" t="str">
            <v/>
          </cell>
          <cell r="C1056" t="str">
            <v/>
          </cell>
          <cell r="D1056" t="str">
            <v/>
          </cell>
          <cell r="E1056" t="str">
            <v/>
          </cell>
          <cell r="F1056" t="str">
            <v/>
          </cell>
          <cell r="H1056" t="str">
            <v/>
          </cell>
          <cell r="I1056" t="str">
            <v/>
          </cell>
          <cell r="J1056" t="str">
            <v/>
          </cell>
          <cell r="K1056" t="str">
            <v/>
          </cell>
        </row>
        <row r="1057">
          <cell r="A1057" t="str">
            <v/>
          </cell>
          <cell r="C1057" t="str">
            <v/>
          </cell>
          <cell r="D1057" t="str">
            <v/>
          </cell>
          <cell r="E1057" t="str">
            <v/>
          </cell>
          <cell r="F1057" t="str">
            <v/>
          </cell>
          <cell r="H1057" t="str">
            <v/>
          </cell>
          <cell r="I1057" t="str">
            <v/>
          </cell>
          <cell r="J1057" t="str">
            <v/>
          </cell>
          <cell r="K1057" t="str">
            <v/>
          </cell>
        </row>
        <row r="1058">
          <cell r="A1058" t="str">
            <v/>
          </cell>
          <cell r="C1058" t="str">
            <v/>
          </cell>
          <cell r="D1058" t="str">
            <v/>
          </cell>
          <cell r="E1058" t="str">
            <v/>
          </cell>
          <cell r="F1058" t="str">
            <v/>
          </cell>
          <cell r="H1058" t="str">
            <v/>
          </cell>
          <cell r="I1058" t="str">
            <v/>
          </cell>
          <cell r="J1058" t="str">
            <v/>
          </cell>
          <cell r="K1058" t="str">
            <v/>
          </cell>
        </row>
        <row r="1059">
          <cell r="A1059" t="str">
            <v/>
          </cell>
          <cell r="C1059" t="str">
            <v/>
          </cell>
          <cell r="D1059" t="str">
            <v/>
          </cell>
          <cell r="E1059" t="str">
            <v/>
          </cell>
          <cell r="F1059" t="str">
            <v/>
          </cell>
          <cell r="H1059" t="str">
            <v/>
          </cell>
          <cell r="I1059" t="str">
            <v/>
          </cell>
          <cell r="J1059" t="str">
            <v/>
          </cell>
          <cell r="K1059" t="str">
            <v/>
          </cell>
        </row>
        <row r="1060">
          <cell r="A1060" t="str">
            <v/>
          </cell>
          <cell r="C1060" t="str">
            <v/>
          </cell>
          <cell r="D1060" t="str">
            <v/>
          </cell>
          <cell r="E1060" t="str">
            <v/>
          </cell>
          <cell r="F1060" t="str">
            <v/>
          </cell>
          <cell r="H1060" t="str">
            <v/>
          </cell>
          <cell r="I1060" t="str">
            <v/>
          </cell>
          <cell r="J1060" t="str">
            <v/>
          </cell>
          <cell r="K1060" t="str">
            <v/>
          </cell>
        </row>
        <row r="1061">
          <cell r="A1061" t="str">
            <v/>
          </cell>
          <cell r="C1061" t="str">
            <v/>
          </cell>
          <cell r="D1061" t="str">
            <v/>
          </cell>
          <cell r="E1061" t="str">
            <v/>
          </cell>
          <cell r="F1061" t="str">
            <v/>
          </cell>
          <cell r="H1061" t="str">
            <v/>
          </cell>
          <cell r="I1061" t="str">
            <v/>
          </cell>
          <cell r="J1061" t="str">
            <v/>
          </cell>
          <cell r="K1061" t="str">
            <v/>
          </cell>
        </row>
        <row r="1062">
          <cell r="A1062" t="str">
            <v/>
          </cell>
          <cell r="C1062" t="str">
            <v/>
          </cell>
          <cell r="D1062" t="str">
            <v/>
          </cell>
          <cell r="E1062" t="str">
            <v/>
          </cell>
          <cell r="F1062" t="str">
            <v/>
          </cell>
          <cell r="H1062" t="str">
            <v/>
          </cell>
          <cell r="I1062" t="str">
            <v/>
          </cell>
          <cell r="J1062" t="str">
            <v/>
          </cell>
          <cell r="K1062" t="str">
            <v/>
          </cell>
        </row>
        <row r="1063">
          <cell r="A1063" t="str">
            <v/>
          </cell>
          <cell r="C1063" t="str">
            <v/>
          </cell>
          <cell r="D1063" t="str">
            <v/>
          </cell>
          <cell r="E1063" t="str">
            <v/>
          </cell>
          <cell r="F1063" t="str">
            <v/>
          </cell>
          <cell r="H1063" t="str">
            <v/>
          </cell>
          <cell r="I1063" t="str">
            <v/>
          </cell>
          <cell r="J1063" t="str">
            <v/>
          </cell>
          <cell r="K1063" t="str">
            <v/>
          </cell>
        </row>
        <row r="1064">
          <cell r="A1064" t="str">
            <v>Food aid</v>
          </cell>
          <cell r="C1064">
            <v>0.11904761904761904</v>
          </cell>
          <cell r="D1064">
            <v>0</v>
          </cell>
          <cell r="E1064">
            <v>0.11904761904761904</v>
          </cell>
          <cell r="F1064">
            <v>0</v>
          </cell>
          <cell r="H1064">
            <v>0.11904761904761904</v>
          </cell>
          <cell r="I1064">
            <v>0</v>
          </cell>
          <cell r="J1064">
            <v>0</v>
          </cell>
          <cell r="K1064">
            <v>0</v>
          </cell>
        </row>
        <row r="1065">
          <cell r="A1065" t="str">
            <v>Purchase - other</v>
          </cell>
          <cell r="C1065">
            <v>3.0300484611279131E-2</v>
          </cell>
          <cell r="D1065">
            <v>-3.0300484611279131E-2</v>
          </cell>
          <cell r="E1065">
            <v>1.2151756849315068E-2</v>
          </cell>
          <cell r="F1065">
            <v>-1.2151756849315068E-2</v>
          </cell>
          <cell r="H1065">
            <v>1.5150242305639565E-2</v>
          </cell>
          <cell r="I1065">
            <v>-1.5150242305639565E-2</v>
          </cell>
          <cell r="J1065">
            <v>3.314115504358655E-2</v>
          </cell>
          <cell r="K1065">
            <v>-3.314115504358655E-2</v>
          </cell>
        </row>
        <row r="1066">
          <cell r="A1066" t="str">
            <v>Purchase - desirable</v>
          </cell>
          <cell r="C1066">
            <v>0</v>
          </cell>
          <cell r="D1066">
            <v>0</v>
          </cell>
          <cell r="E1066">
            <v>0</v>
          </cell>
          <cell r="F1066">
            <v>0</v>
          </cell>
          <cell r="H1066">
            <v>0</v>
          </cell>
          <cell r="I1066">
            <v>0</v>
          </cell>
          <cell r="J1066">
            <v>0</v>
          </cell>
          <cell r="K1066">
            <v>0</v>
          </cell>
        </row>
        <row r="1067">
          <cell r="A1067" t="str">
            <v>Purchase - fpl non staple</v>
          </cell>
          <cell r="C1067">
            <v>0.21728754598825828</v>
          </cell>
          <cell r="D1067">
            <v>7.3492279537387467E-3</v>
          </cell>
          <cell r="E1067">
            <v>0.19629046653175591</v>
          </cell>
          <cell r="F1067">
            <v>2.8346307410241169E-2</v>
          </cell>
          <cell r="H1067">
            <v>0.27755333285892192</v>
          </cell>
          <cell r="I1067">
            <v>-5.291655891692483E-2</v>
          </cell>
          <cell r="J1067">
            <v>0.4675118788916563</v>
          </cell>
          <cell r="K1067">
            <v>-0.24287510494965928</v>
          </cell>
        </row>
        <row r="1068">
          <cell r="A1068" t="str">
            <v>Purchase - staple</v>
          </cell>
          <cell r="C1068">
            <v>0.68939859227895406</v>
          </cell>
          <cell r="E1068">
            <v>0.58958408107098381</v>
          </cell>
          <cell r="H1068">
            <v>0.54316672549368428</v>
          </cell>
          <cell r="J1068">
            <v>0.5065454465753424</v>
          </cell>
        </row>
        <row r="1072">
          <cell r="A1072" t="str">
            <v>Cattle sales - local: no. sold</v>
          </cell>
          <cell r="C1072">
            <v>0</v>
          </cell>
          <cell r="D1072">
            <v>0</v>
          </cell>
          <cell r="E1072">
            <v>6750</v>
          </cell>
          <cell r="F1072">
            <v>0</v>
          </cell>
          <cell r="H1072">
            <v>16000</v>
          </cell>
          <cell r="I1072">
            <v>0</v>
          </cell>
          <cell r="J1072">
            <v>22350</v>
          </cell>
          <cell r="K1072">
            <v>0</v>
          </cell>
        </row>
        <row r="1073">
          <cell r="A1073" t="str">
            <v>Goat sales - local: no. sold</v>
          </cell>
          <cell r="C1073">
            <v>1125</v>
          </cell>
          <cell r="D1073">
            <v>0</v>
          </cell>
          <cell r="E1073">
            <v>3000</v>
          </cell>
          <cell r="F1073">
            <v>-2500</v>
          </cell>
          <cell r="H1073">
            <v>6000</v>
          </cell>
          <cell r="I1073">
            <v>4000</v>
          </cell>
          <cell r="J1073">
            <v>8000</v>
          </cell>
          <cell r="K1073">
            <v>2500</v>
          </cell>
        </row>
        <row r="1074">
          <cell r="A1074" t="str">
            <v>Sheep sales - local: no. sold</v>
          </cell>
          <cell r="C1074">
            <v>0</v>
          </cell>
          <cell r="D1074">
            <v>0</v>
          </cell>
          <cell r="E1074">
            <v>0</v>
          </cell>
          <cell r="F1074">
            <v>0</v>
          </cell>
          <cell r="H1074">
            <v>1600</v>
          </cell>
          <cell r="I1074">
            <v>0</v>
          </cell>
          <cell r="J1074">
            <v>2400</v>
          </cell>
          <cell r="K1074">
            <v>0</v>
          </cell>
        </row>
        <row r="1075">
          <cell r="A1075" t="str">
            <v>Chicken sales: no. sold</v>
          </cell>
          <cell r="C1075">
            <v>0</v>
          </cell>
          <cell r="D1075">
            <v>0</v>
          </cell>
          <cell r="E1075">
            <v>0</v>
          </cell>
          <cell r="F1075">
            <v>0</v>
          </cell>
          <cell r="H1075">
            <v>1300</v>
          </cell>
          <cell r="I1075">
            <v>0</v>
          </cell>
          <cell r="J1075">
            <v>0</v>
          </cell>
          <cell r="K1075">
            <v>0</v>
          </cell>
        </row>
        <row r="1076">
          <cell r="A1076" t="str">
            <v>Maize: kg produced</v>
          </cell>
          <cell r="C1076">
            <v>0</v>
          </cell>
          <cell r="D1076">
            <v>0</v>
          </cell>
          <cell r="E1076">
            <v>0</v>
          </cell>
          <cell r="F1076">
            <v>0</v>
          </cell>
          <cell r="H1076">
            <v>2400</v>
          </cell>
          <cell r="I1076">
            <v>-2400</v>
          </cell>
          <cell r="J1076">
            <v>3600</v>
          </cell>
          <cell r="K1076">
            <v>-3600</v>
          </cell>
        </row>
        <row r="1077">
          <cell r="A1077" t="str">
            <v>Beans: kg produced</v>
          </cell>
          <cell r="C1077">
            <v>0</v>
          </cell>
          <cell r="D1077">
            <v>0</v>
          </cell>
          <cell r="E1077">
            <v>1500</v>
          </cell>
          <cell r="F1077">
            <v>0</v>
          </cell>
          <cell r="H1077">
            <v>17250</v>
          </cell>
          <cell r="I1077">
            <v>0</v>
          </cell>
          <cell r="J1077">
            <v>6000</v>
          </cell>
          <cell r="K1077">
            <v>0</v>
          </cell>
        </row>
        <row r="1078">
          <cell r="A1078" t="str">
            <v>potatoes: kg produced</v>
          </cell>
          <cell r="C1078">
            <v>0</v>
          </cell>
          <cell r="D1078">
            <v>0</v>
          </cell>
          <cell r="E1078">
            <v>160</v>
          </cell>
          <cell r="F1078">
            <v>-160</v>
          </cell>
          <cell r="H1078">
            <v>2500</v>
          </cell>
          <cell r="I1078">
            <v>-2500</v>
          </cell>
          <cell r="J1078">
            <v>432</v>
          </cell>
          <cell r="K1078">
            <v>-432</v>
          </cell>
        </row>
        <row r="1079">
          <cell r="A1079" t="str">
            <v>Agricultural cash income -- see Data2</v>
          </cell>
          <cell r="C1079">
            <v>760</v>
          </cell>
          <cell r="D1079">
            <v>0</v>
          </cell>
          <cell r="E1079">
            <v>2760</v>
          </cell>
          <cell r="F1079">
            <v>0</v>
          </cell>
          <cell r="H1079">
            <v>0</v>
          </cell>
          <cell r="I1079">
            <v>0</v>
          </cell>
          <cell r="J1079">
            <v>0</v>
          </cell>
          <cell r="K1079">
            <v>0</v>
          </cell>
        </row>
        <row r="1080">
          <cell r="A1080" t="str">
            <v>Construction cash income -- see Data2</v>
          </cell>
          <cell r="C1080">
            <v>940</v>
          </cell>
          <cell r="D1080">
            <v>0</v>
          </cell>
          <cell r="E1080">
            <v>0</v>
          </cell>
          <cell r="F1080">
            <v>0</v>
          </cell>
          <cell r="H1080">
            <v>0</v>
          </cell>
          <cell r="I1080">
            <v>0</v>
          </cell>
          <cell r="J1080">
            <v>0</v>
          </cell>
          <cell r="K1080">
            <v>0</v>
          </cell>
        </row>
        <row r="1081">
          <cell r="A1081" t="str">
            <v>Domestic work cash income -- see Data2</v>
          </cell>
          <cell r="C1081">
            <v>4800</v>
          </cell>
          <cell r="D1081">
            <v>0</v>
          </cell>
          <cell r="E1081">
            <v>2200</v>
          </cell>
          <cell r="F1081">
            <v>0</v>
          </cell>
          <cell r="H1081">
            <v>0</v>
          </cell>
          <cell r="I1081">
            <v>0</v>
          </cell>
          <cell r="J1081">
            <v>0</v>
          </cell>
          <cell r="K1081">
            <v>0</v>
          </cell>
        </row>
        <row r="1082">
          <cell r="A1082" t="str">
            <v>Labour migration(formal employment): no. people per HH</v>
          </cell>
          <cell r="C1082">
            <v>0</v>
          </cell>
          <cell r="D1082">
            <v>0</v>
          </cell>
          <cell r="E1082">
            <v>0</v>
          </cell>
          <cell r="F1082">
            <v>0</v>
          </cell>
          <cell r="H1082">
            <v>19200</v>
          </cell>
          <cell r="I1082">
            <v>0</v>
          </cell>
          <cell r="J1082">
            <v>75600</v>
          </cell>
          <cell r="K1082">
            <v>0</v>
          </cell>
        </row>
        <row r="1083">
          <cell r="A1083" t="str">
            <v>Small business -- see Data2</v>
          </cell>
          <cell r="C1083">
            <v>0</v>
          </cell>
          <cell r="D1083">
            <v>0</v>
          </cell>
          <cell r="E1083">
            <v>0</v>
          </cell>
          <cell r="F1083">
            <v>0</v>
          </cell>
          <cell r="H1083">
            <v>0</v>
          </cell>
          <cell r="I1083">
            <v>0</v>
          </cell>
          <cell r="J1083">
            <v>62700</v>
          </cell>
          <cell r="K1083">
            <v>0</v>
          </cell>
        </row>
        <row r="1084">
          <cell r="A1084" t="str">
            <v>Social development -- see Data2</v>
          </cell>
          <cell r="C1084">
            <v>20220</v>
          </cell>
          <cell r="D1084">
            <v>0</v>
          </cell>
          <cell r="E1084">
            <v>22020</v>
          </cell>
          <cell r="F1084">
            <v>0</v>
          </cell>
          <cell r="H1084">
            <v>7620</v>
          </cell>
          <cell r="I1084">
            <v>0</v>
          </cell>
          <cell r="J1084">
            <v>7620</v>
          </cell>
          <cell r="K1084">
            <v>0</v>
          </cell>
        </row>
        <row r="1085">
          <cell r="A1085" t="str">
            <v>Public works -- see Data2</v>
          </cell>
          <cell r="C1085">
            <v>0</v>
          </cell>
          <cell r="D1085">
            <v>0</v>
          </cell>
          <cell r="E1085">
            <v>14916</v>
          </cell>
          <cell r="F1085">
            <v>0</v>
          </cell>
          <cell r="H1085">
            <v>0</v>
          </cell>
          <cell r="I1085">
            <v>0</v>
          </cell>
          <cell r="J1085">
            <v>0</v>
          </cell>
          <cell r="K1085">
            <v>0</v>
          </cell>
        </row>
        <row r="1086">
          <cell r="A1086" t="str">
            <v>Gifts/social support: type (Child support, Pension and Foster Care)</v>
          </cell>
          <cell r="C1086">
            <v>0</v>
          </cell>
          <cell r="D1086">
            <v>0</v>
          </cell>
          <cell r="E1086">
            <v>0</v>
          </cell>
          <cell r="F1086">
            <v>0</v>
          </cell>
          <cell r="H1086">
            <v>0</v>
          </cell>
          <cell r="I1086">
            <v>0</v>
          </cell>
          <cell r="J1086">
            <v>17040</v>
          </cell>
          <cell r="K1086">
            <v>0</v>
          </cell>
        </row>
        <row r="1087">
          <cell r="A1087" t="str">
            <v>Remittances: no. times per year</v>
          </cell>
          <cell r="C1087">
            <v>0</v>
          </cell>
          <cell r="D1087">
            <v>0</v>
          </cell>
          <cell r="E1087">
            <v>0</v>
          </cell>
          <cell r="F1087">
            <v>0</v>
          </cell>
          <cell r="H1087">
            <v>12000</v>
          </cell>
          <cell r="I1087">
            <v>0</v>
          </cell>
          <cell r="J1087">
            <v>9000</v>
          </cell>
          <cell r="K1087">
            <v>0</v>
          </cell>
        </row>
        <row r="1088">
          <cell r="A1088" t="str">
            <v/>
          </cell>
          <cell r="C1088" t="str">
            <v/>
          </cell>
          <cell r="D1088" t="str">
            <v/>
          </cell>
          <cell r="E1088" t="str">
            <v/>
          </cell>
          <cell r="F1088" t="str">
            <v/>
          </cell>
          <cell r="H1088" t="str">
            <v/>
          </cell>
          <cell r="I1088" t="str">
            <v/>
          </cell>
          <cell r="J1088" t="str">
            <v/>
          </cell>
          <cell r="K1088" t="str">
            <v/>
          </cell>
        </row>
        <row r="1089">
          <cell r="A1089" t="str">
            <v/>
          </cell>
          <cell r="C1089" t="str">
            <v/>
          </cell>
          <cell r="D1089" t="str">
            <v/>
          </cell>
          <cell r="E1089" t="str">
            <v/>
          </cell>
          <cell r="F1089" t="str">
            <v/>
          </cell>
          <cell r="H1089" t="str">
            <v/>
          </cell>
          <cell r="I1089" t="str">
            <v/>
          </cell>
          <cell r="J1089" t="str">
            <v/>
          </cell>
          <cell r="K1089" t="str">
            <v/>
          </cell>
        </row>
        <row r="1090">
          <cell r="A1090" t="str">
            <v/>
          </cell>
          <cell r="C1090" t="str">
            <v/>
          </cell>
          <cell r="D1090" t="str">
            <v/>
          </cell>
          <cell r="E1090" t="str">
            <v/>
          </cell>
          <cell r="F1090" t="str">
            <v/>
          </cell>
          <cell r="H1090" t="str">
            <v/>
          </cell>
          <cell r="I1090" t="str">
            <v/>
          </cell>
          <cell r="J1090" t="str">
            <v/>
          </cell>
          <cell r="K1090" t="str">
            <v/>
          </cell>
        </row>
        <row r="1091">
          <cell r="A1091" t="str">
            <v/>
          </cell>
          <cell r="C1091" t="str">
            <v/>
          </cell>
          <cell r="D1091" t="str">
            <v/>
          </cell>
          <cell r="E1091" t="str">
            <v/>
          </cell>
          <cell r="F1091" t="str">
            <v/>
          </cell>
          <cell r="H1091" t="str">
            <v/>
          </cell>
          <cell r="I1091" t="str">
            <v/>
          </cell>
          <cell r="J1091" t="str">
            <v/>
          </cell>
          <cell r="K1091" t="str">
            <v/>
          </cell>
        </row>
        <row r="1092">
          <cell r="A1092" t="str">
            <v/>
          </cell>
          <cell r="C1092" t="str">
            <v/>
          </cell>
          <cell r="D1092" t="str">
            <v/>
          </cell>
          <cell r="E1092" t="str">
            <v/>
          </cell>
          <cell r="F1092" t="str">
            <v/>
          </cell>
          <cell r="H1092" t="str">
            <v/>
          </cell>
          <cell r="I1092" t="str">
            <v/>
          </cell>
          <cell r="J1092" t="str">
            <v/>
          </cell>
          <cell r="K1092" t="str">
            <v/>
          </cell>
        </row>
        <row r="1093">
          <cell r="A1093" t="str">
            <v/>
          </cell>
          <cell r="C1093" t="str">
            <v/>
          </cell>
          <cell r="D1093" t="str">
            <v/>
          </cell>
          <cell r="E1093" t="str">
            <v/>
          </cell>
          <cell r="F1093" t="str">
            <v/>
          </cell>
          <cell r="H1093" t="str">
            <v/>
          </cell>
          <cell r="I1093" t="str">
            <v/>
          </cell>
          <cell r="J1093" t="str">
            <v/>
          </cell>
          <cell r="K1093" t="str">
            <v/>
          </cell>
        </row>
        <row r="1094">
          <cell r="A1094" t="str">
            <v/>
          </cell>
          <cell r="C1094" t="str">
            <v/>
          </cell>
          <cell r="D1094" t="str">
            <v/>
          </cell>
          <cell r="E1094" t="str">
            <v/>
          </cell>
          <cell r="F1094" t="str">
            <v/>
          </cell>
          <cell r="H1094" t="str">
            <v/>
          </cell>
          <cell r="I1094" t="str">
            <v/>
          </cell>
          <cell r="J1094" t="str">
            <v/>
          </cell>
          <cell r="K1094" t="str">
            <v/>
          </cell>
        </row>
        <row r="1095">
          <cell r="A1095" t="str">
            <v/>
          </cell>
          <cell r="C1095" t="str">
            <v/>
          </cell>
          <cell r="D1095" t="str">
            <v/>
          </cell>
          <cell r="E1095" t="str">
            <v/>
          </cell>
          <cell r="F1095" t="str">
            <v/>
          </cell>
          <cell r="H1095" t="str">
            <v/>
          </cell>
          <cell r="I1095" t="str">
            <v/>
          </cell>
          <cell r="J1095" t="str">
            <v/>
          </cell>
          <cell r="K1095" t="str">
            <v/>
          </cell>
        </row>
        <row r="1096">
          <cell r="A1096" t="str">
            <v/>
          </cell>
          <cell r="C1096" t="str">
            <v/>
          </cell>
          <cell r="D1096" t="str">
            <v/>
          </cell>
          <cell r="E1096" t="str">
            <v/>
          </cell>
          <cell r="F1096" t="str">
            <v/>
          </cell>
          <cell r="H1096" t="str">
            <v/>
          </cell>
          <cell r="I1096" t="str">
            <v/>
          </cell>
          <cell r="J1096" t="str">
            <v/>
          </cell>
          <cell r="K1096" t="str">
            <v/>
          </cell>
        </row>
        <row r="1097">
          <cell r="A1097" t="str">
            <v/>
          </cell>
          <cell r="C1097" t="str">
            <v/>
          </cell>
          <cell r="D1097" t="str">
            <v/>
          </cell>
          <cell r="E1097" t="str">
            <v/>
          </cell>
          <cell r="F1097" t="str">
            <v/>
          </cell>
          <cell r="H1097" t="str">
            <v/>
          </cell>
          <cell r="I1097" t="str">
            <v/>
          </cell>
          <cell r="J1097" t="str">
            <v/>
          </cell>
          <cell r="K1097" t="str">
            <v/>
          </cell>
        </row>
        <row r="1098">
          <cell r="A1098" t="str">
            <v/>
          </cell>
          <cell r="C1098" t="str">
            <v/>
          </cell>
          <cell r="D1098" t="str">
            <v/>
          </cell>
          <cell r="E1098" t="str">
            <v/>
          </cell>
          <cell r="F1098" t="str">
            <v/>
          </cell>
          <cell r="H1098" t="str">
            <v/>
          </cell>
          <cell r="I1098" t="str">
            <v/>
          </cell>
          <cell r="J1098" t="str">
            <v/>
          </cell>
          <cell r="K1098" t="str">
            <v/>
          </cell>
        </row>
        <row r="1099">
          <cell r="A1099" t="str">
            <v/>
          </cell>
          <cell r="C1099" t="str">
            <v/>
          </cell>
          <cell r="D1099" t="str">
            <v/>
          </cell>
          <cell r="E1099" t="str">
            <v/>
          </cell>
          <cell r="F1099" t="str">
            <v/>
          </cell>
          <cell r="H1099" t="str">
            <v/>
          </cell>
          <cell r="I1099" t="str">
            <v/>
          </cell>
          <cell r="J1099" t="str">
            <v/>
          </cell>
          <cell r="K1099" t="str">
            <v/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V.Poor"/>
      <sheetName val="Poor"/>
      <sheetName val="Middle"/>
      <sheetName val="Rich"/>
      <sheetName val="Food"/>
      <sheetName val="Income"/>
      <sheetName val="Expenditure"/>
      <sheetName val="Percentiles"/>
    </sheetNames>
    <sheetDataSet>
      <sheetData sheetId="0"/>
      <sheetData sheetId="1">
        <row r="81">
          <cell r="B81">
            <v>8</v>
          </cell>
        </row>
      </sheetData>
      <sheetData sheetId="2"/>
      <sheetData sheetId="3"/>
      <sheetData sheetId="4"/>
      <sheetData sheetId="5">
        <row r="71">
          <cell r="B71" t="str">
            <v>Baseline: v poor</v>
          </cell>
          <cell r="C71" t="str">
            <v>Baseline: poor</v>
          </cell>
          <cell r="D71" t="str">
            <v>Baseline: middle</v>
          </cell>
          <cell r="E71" t="str">
            <v>Baseline: b-off</v>
          </cell>
          <cell r="F71" t="str">
            <v>Current: v poor</v>
          </cell>
          <cell r="G71" t="str">
            <v>Current: poor</v>
          </cell>
          <cell r="H71" t="str">
            <v>Current: Middle</v>
          </cell>
          <cell r="I71" t="str">
            <v>Current: b-off</v>
          </cell>
        </row>
        <row r="82">
          <cell r="A82" t="str">
            <v>Small business/petty trading</v>
          </cell>
        </row>
        <row r="102">
          <cell r="A102" t="str">
            <v>Own crops Consumed</v>
          </cell>
          <cell r="B102">
            <v>984.25445590616596</v>
          </cell>
          <cell r="C102">
            <v>2704.266735645449</v>
          </cell>
          <cell r="D102">
            <v>2492.8571902326798</v>
          </cell>
          <cell r="E102">
            <v>1745.9206346047977</v>
          </cell>
          <cell r="F102">
            <v>414.0773225620311</v>
          </cell>
          <cell r="G102">
            <v>1305.9185369471618</v>
          </cell>
          <cell r="H102">
            <v>5379.2251456426266</v>
          </cell>
          <cell r="I102">
            <v>896.03977909982518</v>
          </cell>
        </row>
        <row r="103">
          <cell r="A103" t="str">
            <v>Own crops sold</v>
          </cell>
          <cell r="B103">
            <v>0</v>
          </cell>
          <cell r="C103">
            <v>1660</v>
          </cell>
          <cell r="D103">
            <v>25314.285714285714</v>
          </cell>
          <cell r="E103">
            <v>10032</v>
          </cell>
          <cell r="F103">
            <v>0</v>
          </cell>
          <cell r="G103">
            <v>444.24851808903816</v>
          </cell>
          <cell r="H103">
            <v>5795.8952412628869</v>
          </cell>
          <cell r="I103">
            <v>3250.9527515545969</v>
          </cell>
        </row>
        <row r="104">
          <cell r="A104" t="str">
            <v>Animal products consumed</v>
          </cell>
          <cell r="B104">
            <v>119.18500810595445</v>
          </cell>
          <cell r="C104">
            <v>570.43548525155074</v>
          </cell>
          <cell r="D104">
            <v>1656.3641471326373</v>
          </cell>
          <cell r="E104">
            <v>2032.2021217743129</v>
          </cell>
          <cell r="F104">
            <v>39.331052674964965</v>
          </cell>
          <cell r="G104">
            <v>188.24371013301172</v>
          </cell>
          <cell r="H104">
            <v>546.60016855377023</v>
          </cell>
          <cell r="I104">
            <v>670.6267001855233</v>
          </cell>
        </row>
        <row r="106">
          <cell r="A106" t="str">
            <v>Animals sold</v>
          </cell>
          <cell r="B106">
            <v>1285.7142857142858</v>
          </cell>
          <cell r="C106">
            <v>9750</v>
          </cell>
          <cell r="D106">
            <v>28457.142857142859</v>
          </cell>
          <cell r="E106">
            <v>32750</v>
          </cell>
          <cell r="F106">
            <v>758.57142857142856</v>
          </cell>
          <cell r="G106">
            <v>5075.8608076190048</v>
          </cell>
          <cell r="H106">
            <v>19982.215006217557</v>
          </cell>
          <cell r="I106">
            <v>19378.509143798357</v>
          </cell>
        </row>
        <row r="107">
          <cell r="A107" t="str">
            <v>Wild foods consumed and sold</v>
          </cell>
          <cell r="B107">
            <v>0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</row>
        <row r="108">
          <cell r="A108" t="str">
            <v>Labour - casual</v>
          </cell>
          <cell r="B108">
            <v>7428.5714285714284</v>
          </cell>
          <cell r="C108">
            <v>4960</v>
          </cell>
          <cell r="D108">
            <v>21942.857142857141</v>
          </cell>
          <cell r="E108">
            <v>0</v>
          </cell>
          <cell r="F108">
            <v>4122.8571428571431</v>
          </cell>
          <cell r="G108">
            <v>2752.8000000000006</v>
          </cell>
          <cell r="H108">
            <v>10357.028571428571</v>
          </cell>
          <cell r="I108">
            <v>0</v>
          </cell>
        </row>
        <row r="109">
          <cell r="A109" t="str">
            <v>Labour - formal emp</v>
          </cell>
          <cell r="B109">
            <v>0</v>
          </cell>
          <cell r="C109">
            <v>0</v>
          </cell>
          <cell r="D109">
            <v>0</v>
          </cell>
          <cell r="E109">
            <v>75600</v>
          </cell>
          <cell r="F109">
            <v>0</v>
          </cell>
          <cell r="G109">
            <v>0</v>
          </cell>
          <cell r="H109">
            <v>0</v>
          </cell>
          <cell r="I109">
            <v>35683.199999999997</v>
          </cell>
        </row>
        <row r="110">
          <cell r="A110" t="str">
            <v>Labour - public works</v>
          </cell>
          <cell r="B110">
            <v>0</v>
          </cell>
          <cell r="C110">
            <v>14916</v>
          </cell>
          <cell r="D110">
            <v>0</v>
          </cell>
          <cell r="E110">
            <v>0</v>
          </cell>
          <cell r="F110">
            <v>0</v>
          </cell>
          <cell r="G110">
            <v>17600.879999999997</v>
          </cell>
          <cell r="H110">
            <v>0</v>
          </cell>
          <cell r="I110">
            <v>0</v>
          </cell>
        </row>
        <row r="111">
          <cell r="A111" t="str">
            <v>Self - employment</v>
          </cell>
          <cell r="B111">
            <v>0</v>
          </cell>
          <cell r="C111">
            <v>0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</row>
        <row r="112">
          <cell r="B112">
            <v>0</v>
          </cell>
          <cell r="C112">
            <v>0</v>
          </cell>
          <cell r="D112">
            <v>8708.5714285714294</v>
          </cell>
          <cell r="E112">
            <v>62700</v>
          </cell>
          <cell r="F112">
            <v>0</v>
          </cell>
          <cell r="G112">
            <v>0</v>
          </cell>
          <cell r="H112">
            <v>10276.114285714286</v>
          </cell>
          <cell r="I112">
            <v>59188.800000000003</v>
          </cell>
        </row>
        <row r="113">
          <cell r="A113" t="str">
            <v>Food transfer - official</v>
          </cell>
          <cell r="B113">
            <v>1401.3106912413493</v>
          </cell>
          <cell r="C113">
            <v>1401.3106912413493</v>
          </cell>
          <cell r="D113">
            <v>1401.3106912413493</v>
          </cell>
          <cell r="E113">
            <v>0</v>
          </cell>
          <cell r="F113">
            <v>2312.1626405482261</v>
          </cell>
          <cell r="G113">
            <v>2312.1626405482261</v>
          </cell>
          <cell r="H113">
            <v>2312.1626405482261</v>
          </cell>
          <cell r="I113">
            <v>0</v>
          </cell>
        </row>
        <row r="114">
          <cell r="A114" t="str">
            <v>Food transfer - gifts</v>
          </cell>
          <cell r="B114">
            <v>0</v>
          </cell>
          <cell r="C114">
            <v>0</v>
          </cell>
          <cell r="D114">
            <v>0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</row>
        <row r="115">
          <cell r="A115" t="str">
            <v>Cash transfer - official</v>
          </cell>
          <cell r="B115">
            <v>23108.571428571428</v>
          </cell>
          <cell r="C115">
            <v>22020</v>
          </cell>
          <cell r="D115">
            <v>0</v>
          </cell>
          <cell r="E115">
            <v>7620</v>
          </cell>
          <cell r="F115">
            <v>27268.114285714288</v>
          </cell>
          <cell r="G115">
            <v>25983.599999999999</v>
          </cell>
          <cell r="H115">
            <v>0</v>
          </cell>
          <cell r="I115">
            <v>8991.6</v>
          </cell>
        </row>
        <row r="116">
          <cell r="A116" t="str">
            <v>Cash transfer - gifts</v>
          </cell>
          <cell r="B116">
            <v>0</v>
          </cell>
          <cell r="C116">
            <v>0</v>
          </cell>
          <cell r="D116">
            <v>13714.285714285714</v>
          </cell>
          <cell r="E116">
            <v>26040</v>
          </cell>
          <cell r="F116">
            <v>0</v>
          </cell>
          <cell r="G116">
            <v>0</v>
          </cell>
          <cell r="H116">
            <v>15222.857142857143</v>
          </cell>
          <cell r="I116">
            <v>27030.000000000004</v>
          </cell>
        </row>
        <row r="117">
          <cell r="A117" t="str">
            <v>Other</v>
          </cell>
          <cell r="B117">
            <v>0</v>
          </cell>
          <cell r="C117">
            <v>0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</row>
        <row r="119">
          <cell r="A119" t="str">
            <v>Food Poverty line</v>
          </cell>
          <cell r="B119">
            <v>24062.646384067204</v>
          </cell>
          <cell r="C119">
            <v>24062.646384067204</v>
          </cell>
          <cell r="D119">
            <v>24062.6463840672</v>
          </cell>
          <cell r="E119">
            <v>24062.646384067208</v>
          </cell>
        </row>
        <row r="120">
          <cell r="A120" t="str">
            <v>Lower Bound Poverty line</v>
          </cell>
          <cell r="B120">
            <v>42445.473050733868</v>
          </cell>
          <cell r="C120">
            <v>42445.473050733875</v>
          </cell>
          <cell r="D120">
            <v>42445.473050733868</v>
          </cell>
          <cell r="E120">
            <v>42445.473050733883</v>
          </cell>
        </row>
        <row r="121">
          <cell r="A121" t="str">
            <v>Upper Bound Poverty line</v>
          </cell>
          <cell r="B121">
            <v>75183.393050733866</v>
          </cell>
          <cell r="C121">
            <v>75183.393050733881</v>
          </cell>
          <cell r="D121">
            <v>75183.393050733866</v>
          </cell>
          <cell r="E121">
            <v>75183.393050733881</v>
          </cell>
        </row>
        <row r="123">
          <cell r="A123" t="str">
            <v>Food Poverty line</v>
          </cell>
          <cell r="F123">
            <v>35969.406972062061</v>
          </cell>
          <cell r="G123">
            <v>35969.406972062054</v>
          </cell>
          <cell r="H123">
            <v>35969.406972062054</v>
          </cell>
          <cell r="I123">
            <v>35969.406972062061</v>
          </cell>
        </row>
        <row r="124">
          <cell r="A124" t="str">
            <v>Lower Bound Poverty line</v>
          </cell>
          <cell r="F124">
            <v>54352.233638728721</v>
          </cell>
          <cell r="G124">
            <v>54352.233638728729</v>
          </cell>
          <cell r="H124">
            <v>54352.233638728721</v>
          </cell>
          <cell r="I124">
            <v>54352.233638728729</v>
          </cell>
        </row>
        <row r="125">
          <cell r="A125" t="str">
            <v>Upper Bound Poverty line</v>
          </cell>
          <cell r="F125">
            <v>87090.153638728734</v>
          </cell>
          <cell r="G125">
            <v>87090.15363872872</v>
          </cell>
          <cell r="H125">
            <v>87090.153638728734</v>
          </cell>
          <cell r="I125">
            <v>87090.15363872872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J30" activePane="bottomRight" state="frozen"/>
      <selection pane="topRight" activeCell="B1" sqref="B1"/>
      <selection pane="bottomLeft" activeCell="A3" sqref="A3"/>
      <selection pane="bottomRight" activeCell="R50" sqref="R50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ZAKHC: 59208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250" t="str">
        <f>Poor!Z1</f>
        <v>Apr-Jun</v>
      </c>
      <c r="AA1" s="251"/>
      <c r="AB1" s="250" t="str">
        <f>Poor!AB1</f>
        <v>Jul-Sep</v>
      </c>
      <c r="AC1" s="251"/>
      <c r="AD1" s="250" t="str">
        <f>Poor!AD1</f>
        <v>Oct-Dec</v>
      </c>
      <c r="AE1" s="251"/>
      <c r="AF1" s="250" t="str">
        <f>Poor!AF1</f>
        <v>Jan-Mar</v>
      </c>
      <c r="AG1" s="251"/>
      <c r="AH1" s="117"/>
      <c r="AI1" s="110"/>
      <c r="AJ1" s="195" t="str">
        <f>LEFT(Z1,4) &amp; MID(AB1,5,3)</f>
        <v>Apr-Sep</v>
      </c>
      <c r="AK1" s="196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2" t="str">
        <f>Poor!Z2</f>
        <v>Q1</v>
      </c>
      <c r="AA2" s="253"/>
      <c r="AB2" s="252" t="str">
        <f>Poor!AB2</f>
        <v>Q2</v>
      </c>
      <c r="AC2" s="253"/>
      <c r="AD2" s="252" t="str">
        <f>Poor!AD2</f>
        <v>Q3</v>
      </c>
      <c r="AE2" s="253"/>
      <c r="AF2" s="252" t="str">
        <f>Poor!AF2</f>
        <v>Q4</v>
      </c>
      <c r="AG2" s="253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52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215">
        <f>IF([1]Summ!C1044="",0,[1]Summ!C1044)</f>
        <v>0</v>
      </c>
      <c r="C6" s="215">
        <f>IF([1]Summ!D1044="",0,[1]Summ!D1044)</f>
        <v>0</v>
      </c>
      <c r="D6" s="24">
        <f t="shared" ref="D6:D28" si="0">(B6+C6)</f>
        <v>0</v>
      </c>
      <c r="E6" s="75">
        <f>Poor!E6</f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0</v>
      </c>
      <c r="J6" s="24">
        <f t="shared" ref="J6:J13" si="3">IF(I$32&lt;=1+I$131,I6,B6*H6+J$33*(I6-B6*H6))</f>
        <v>0</v>
      </c>
      <c r="K6" s="22">
        <f t="shared" ref="K6:K31" si="4">B6</f>
        <v>0</v>
      </c>
      <c r="L6" s="22">
        <f t="shared" ref="L6:L29" si="5">IF(K6="","",K6*H6)</f>
        <v>0</v>
      </c>
      <c r="M6" s="177">
        <f t="shared" ref="M6:M31" si="6">J6</f>
        <v>0</v>
      </c>
      <c r="N6" s="227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</v>
      </c>
      <c r="Z6" s="156">
        <f>Poor!Z6</f>
        <v>0.17</v>
      </c>
      <c r="AA6" s="121">
        <f>$M6*Z6*4</f>
        <v>0</v>
      </c>
      <c r="AB6" s="156">
        <f>Poor!AB6</f>
        <v>0.17</v>
      </c>
      <c r="AC6" s="121">
        <f t="shared" ref="AC6:AC29" si="7">$M6*AB6*4</f>
        <v>0</v>
      </c>
      <c r="AD6" s="156">
        <f>Poor!AD6</f>
        <v>0.33</v>
      </c>
      <c r="AE6" s="121">
        <f t="shared" ref="AE6:AE29" si="8">$M6*AD6*4</f>
        <v>0</v>
      </c>
      <c r="AF6" s="122">
        <f>1-SUM(Z6,AB6,AD6)</f>
        <v>0.32999999999999996</v>
      </c>
      <c r="AG6" s="121">
        <f>$M6*AF6*4</f>
        <v>0</v>
      </c>
      <c r="AH6" s="123">
        <f>SUM(Z6,AB6,AD6,AF6)</f>
        <v>1</v>
      </c>
      <c r="AI6" s="183">
        <f>SUM(AA6,AC6,AE6,AG6)/4</f>
        <v>0</v>
      </c>
      <c r="AJ6" s="120">
        <f>(AA6+AC6)/2</f>
        <v>0</v>
      </c>
      <c r="AK6" s="119">
        <f>(AE6+AG6)/2</f>
        <v>0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Own meat</v>
      </c>
      <c r="B7" s="215">
        <f>IF([1]Summ!C1045="",0,[1]Summ!C1045)</f>
        <v>1.0125300213485146E-2</v>
      </c>
      <c r="C7" s="215">
        <f>IF([1]Summ!D1045="",0,[1]Summ!D1045)</f>
        <v>0</v>
      </c>
      <c r="D7" s="24">
        <f t="shared" si="0"/>
        <v>1.0125300213485146E-2</v>
      </c>
      <c r="E7" s="75">
        <f>Poor!E7</f>
        <v>0.2</v>
      </c>
      <c r="F7" s="27">
        <v>8800</v>
      </c>
      <c r="H7" s="24">
        <f t="shared" si="1"/>
        <v>0.2</v>
      </c>
      <c r="I7" s="22">
        <f t="shared" si="2"/>
        <v>2.0250600426970295E-3</v>
      </c>
      <c r="J7" s="24">
        <f t="shared" si="3"/>
        <v>2.0250600426970295E-3</v>
      </c>
      <c r="K7" s="22">
        <f t="shared" si="4"/>
        <v>1.0125300213485146E-2</v>
      </c>
      <c r="L7" s="22">
        <f t="shared" si="5"/>
        <v>2.0250600426970295E-3</v>
      </c>
      <c r="M7" s="177">
        <f t="shared" si="6"/>
        <v>2.0250600426970295E-3</v>
      </c>
      <c r="N7" s="227">
        <v>3</v>
      </c>
      <c r="O7" s="2"/>
      <c r="P7" s="22"/>
      <c r="Q7" s="59" t="s">
        <v>71</v>
      </c>
      <c r="R7" s="220">
        <f>IF($B$81=0,0,(SUMIF($N$6:$N$28,$U7,K$6:K$28)+SUMIF($N$91:$N$118,$U7,K$91:K$118))*$B$83*$H$84*Poor!$B$81/$B$81)</f>
        <v>1471.2865959745848</v>
      </c>
      <c r="S7" s="220">
        <f>IF($B$81=0,0,(SUMIF($N$6:$N$28,$U7,L$6:L$28)+SUMIF($N$91:$N$118,$U7,L$91:L$118))*$I$83*Poor!$B$81/$B$81)</f>
        <v>414.0773225620311</v>
      </c>
      <c r="T7" s="220">
        <f>IF($B$81=0,0,(SUMIF($N$6:$N$28,$U7,M$6:M$28)+SUMIF($N$91:$N$118,$U7,M$91:M$118))*$I$83*Poor!$B$81/$B$81)</f>
        <v>414.0773225620311</v>
      </c>
      <c r="U7" s="221">
        <v>1</v>
      </c>
      <c r="V7" s="56"/>
      <c r="W7" s="115"/>
      <c r="X7" s="118">
        <f>Poor!X7</f>
        <v>4</v>
      </c>
      <c r="Y7" s="183">
        <f t="shared" ref="Y7:Y29" si="9">M7*4</f>
        <v>8.1002401707881179E-3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8.1002401707881179E-3</v>
      </c>
      <c r="AH7" s="123">
        <f t="shared" ref="AH7:AH30" si="12">SUM(Z7,AB7,AD7,AF7)</f>
        <v>1</v>
      </c>
      <c r="AI7" s="183">
        <f t="shared" ref="AI7:AI30" si="13">SUM(AA7,AC7,AE7,AG7)/4</f>
        <v>2.0250600426970295E-3</v>
      </c>
      <c r="AJ7" s="120">
        <f t="shared" ref="AJ7:AJ31" si="14">(AA7+AC7)/2</f>
        <v>0</v>
      </c>
      <c r="AK7" s="119">
        <f t="shared" ref="AK7:AK31" si="15">(AE7+AG7)/2</f>
        <v>4.0501200853940589E-3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Maize: kg produced</v>
      </c>
      <c r="B8" s="215">
        <f>IF([1]Summ!C1046="",0,[1]Summ!C1046)</f>
        <v>4.5964673189823876E-2</v>
      </c>
      <c r="C8" s="215">
        <f>IF([1]Summ!D1046="",0,[1]Summ!D1046)</f>
        <v>0</v>
      </c>
      <c r="D8" s="24">
        <f t="shared" si="0"/>
        <v>4.5964673189823876E-2</v>
      </c>
      <c r="E8" s="75">
        <f>Poor!E8</f>
        <v>0.3</v>
      </c>
      <c r="F8" s="22" t="s">
        <v>23</v>
      </c>
      <c r="H8" s="24">
        <f t="shared" si="1"/>
        <v>0.3</v>
      </c>
      <c r="I8" s="22">
        <f t="shared" si="2"/>
        <v>1.3789401956947162E-2</v>
      </c>
      <c r="J8" s="24">
        <f t="shared" si="3"/>
        <v>1.3789401956947162E-2</v>
      </c>
      <c r="K8" s="22">
        <f t="shared" si="4"/>
        <v>4.5964673189823876E-2</v>
      </c>
      <c r="L8" s="22">
        <f t="shared" si="5"/>
        <v>1.3789401956947162E-2</v>
      </c>
      <c r="M8" s="222">
        <f t="shared" si="6"/>
        <v>1.3789401956947162E-2</v>
      </c>
      <c r="N8" s="227">
        <v>1</v>
      </c>
      <c r="O8" s="2"/>
      <c r="P8" s="22"/>
      <c r="Q8" s="59" t="s">
        <v>72</v>
      </c>
      <c r="R8" s="220">
        <f>IF($B$81=0,0,(SUMIF($N$6:$N$28,$U8,K$6:K$28)+SUMIF($N$91:$N$118,$U8,K$91:K$118))*$B$83*$H$84*Poor!$B$81/$B$81)</f>
        <v>0</v>
      </c>
      <c r="S8" s="220">
        <f>IF($B$81=0,0,(SUMIF($N$6:$N$28,$U8,L$6:L$28)+SUMIF($N$91:$N$118,$U8,L$91:L$118))*$I$83*Poor!$B$81/$B$81)</f>
        <v>0</v>
      </c>
      <c r="T8" s="220">
        <f>IF($B$81=0,0,(SUMIF($N$6:$N$28,$U8,M$6:M$28)+SUMIF($N$91:$N$118,$U8,M$91:M$118))*$I$83*Poor!$B$81/$B$81)</f>
        <v>0</v>
      </c>
      <c r="U8" s="221">
        <v>2</v>
      </c>
      <c r="V8" s="56"/>
      <c r="W8" s="115"/>
      <c r="X8" s="118">
        <f>Poor!X8</f>
        <v>1</v>
      </c>
      <c r="Y8" s="183">
        <f t="shared" si="9"/>
        <v>5.5157607827788648E-2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5.5157607827788648E-2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1.3789401956947162E-2</v>
      </c>
      <c r="AJ8" s="120">
        <f t="shared" si="14"/>
        <v>2.7578803913894324E-2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Beans: kg produced</v>
      </c>
      <c r="B9" s="215">
        <f>IF([1]Summ!C1047="",0,[1]Summ!C1047)</f>
        <v>1.2625201921366307E-2</v>
      </c>
      <c r="C9" s="215">
        <f>IF([1]Summ!D1047="",0,[1]Summ!D1047)</f>
        <v>0</v>
      </c>
      <c r="D9" s="24">
        <f t="shared" si="0"/>
        <v>1.2625201921366307E-2</v>
      </c>
      <c r="E9" s="75">
        <f>Poor!E9</f>
        <v>0.2</v>
      </c>
      <c r="F9" s="76">
        <f>Poor!F9</f>
        <v>8800</v>
      </c>
      <c r="H9" s="24">
        <f t="shared" si="1"/>
        <v>0.2</v>
      </c>
      <c r="I9" s="22">
        <f t="shared" si="2"/>
        <v>2.5250403842732617E-3</v>
      </c>
      <c r="J9" s="24">
        <f t="shared" si="3"/>
        <v>2.5250403842732617E-3</v>
      </c>
      <c r="K9" s="22">
        <f t="shared" si="4"/>
        <v>1.2625201921366307E-2</v>
      </c>
      <c r="L9" s="22">
        <f t="shared" si="5"/>
        <v>2.5250403842732617E-3</v>
      </c>
      <c r="M9" s="222">
        <f t="shared" si="6"/>
        <v>2.5250403842732617E-3</v>
      </c>
      <c r="N9" s="227">
        <v>1</v>
      </c>
      <c r="O9" s="2"/>
      <c r="P9" s="22"/>
      <c r="Q9" s="59" t="s">
        <v>73</v>
      </c>
      <c r="R9" s="220">
        <f>IF($B$81=0,0,(SUMIF($N$6:$N$28,$U9,K$6:K$28)+SUMIF($N$91:$N$118,$U9,K$91:K$118))*$B$83*$H$84*Poor!$B$81/$B$81)</f>
        <v>178.16053949785783</v>
      </c>
      <c r="S9" s="220">
        <f>IF($B$81=0,0,(SUMIF($N$6:$N$28,$U9,L$6:L$28)+SUMIF($N$91:$N$118,$U9,L$91:L$118))*$I$83*Poor!$B$81/$B$81)</f>
        <v>39.331052674964965</v>
      </c>
      <c r="T9" s="220">
        <f>IF($B$81=0,0,(SUMIF($N$6:$N$28,$U9,M$6:M$28)+SUMIF($N$91:$N$118,$U9,M$91:M$118))*$I$83*Poor!$B$81/$B$81)</f>
        <v>39.331052674964965</v>
      </c>
      <c r="U9" s="221">
        <v>3</v>
      </c>
      <c r="V9" s="56"/>
      <c r="W9" s="115"/>
      <c r="X9" s="118">
        <f>Poor!X9</f>
        <v>1</v>
      </c>
      <c r="Y9" s="183">
        <f t="shared" si="9"/>
        <v>1.0100161537093047E-2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1.0100161537093047E-2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2.5250403842732617E-3</v>
      </c>
      <c r="AJ9" s="120">
        <f t="shared" si="14"/>
        <v>5.0500807685465235E-3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potatoes: kg produced</v>
      </c>
      <c r="B10" s="215">
        <f>IF([1]Summ!C1048="",0,[1]Summ!C1048)</f>
        <v>2.5026948941469486E-2</v>
      </c>
      <c r="C10" s="215">
        <f>IF([1]Summ!D1048="",0,[1]Summ!D1048)</f>
        <v>0</v>
      </c>
      <c r="D10" s="24">
        <f t="shared" si="0"/>
        <v>2.5026948941469486E-2</v>
      </c>
      <c r="E10" s="75">
        <f>Poor!E10</f>
        <v>0.2</v>
      </c>
      <c r="H10" s="24">
        <f t="shared" si="1"/>
        <v>0.2</v>
      </c>
      <c r="I10" s="22">
        <f t="shared" si="2"/>
        <v>5.0053897882938979E-3</v>
      </c>
      <c r="J10" s="24">
        <f t="shared" si="3"/>
        <v>5.0053897882938979E-3</v>
      </c>
      <c r="K10" s="22">
        <f t="shared" si="4"/>
        <v>2.5026948941469486E-2</v>
      </c>
      <c r="L10" s="22">
        <f t="shared" si="5"/>
        <v>5.0053897882938979E-3</v>
      </c>
      <c r="M10" s="222">
        <f t="shared" si="6"/>
        <v>5.0053897882938979E-3</v>
      </c>
      <c r="N10" s="227">
        <v>1</v>
      </c>
      <c r="O10" s="2"/>
      <c r="P10" s="22"/>
      <c r="Q10" s="59" t="s">
        <v>74</v>
      </c>
      <c r="R10" s="220">
        <f>IF($B$81=0,0,(SUMIF($N$6:$N$28,$U10,K$6:K$28)+SUMIF($N$91:$N$118,$U10,K$91:K$118))*$B$83*$H$84*Poor!$B$81/$B$81)</f>
        <v>0</v>
      </c>
      <c r="S10" s="220">
        <f>IF($B$81=0,0,(SUMIF($N$6:$N$28,$U10,L$6:L$28)+SUMIF($N$91:$N$118,$U10,L$91:L$118))*$I$83*Poor!$B$81/$B$81)</f>
        <v>0</v>
      </c>
      <c r="T10" s="220">
        <f>IF($B$81=0,0,(SUMIF($N$6:$N$28,$U10,M$6:M$28)+SUMIF($N$91:$N$118,$U10,M$91:M$118))*$I$83*Poor!$B$81/$B$81)</f>
        <v>0</v>
      </c>
      <c r="U10" s="221">
        <v>4</v>
      </c>
      <c r="V10" s="56"/>
      <c r="W10" s="115"/>
      <c r="X10" s="118">
        <f>Poor!X10</f>
        <v>1</v>
      </c>
      <c r="Y10" s="183">
        <f t="shared" si="9"/>
        <v>2.0021559153175592E-2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2.0021559153175592E-2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5.0053897882938979E-3</v>
      </c>
      <c r="AJ10" s="120">
        <f t="shared" si="14"/>
        <v>1.0010779576587796E-2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/>
      </c>
      <c r="B11" s="215">
        <f>IF([1]Summ!C1049="",0,[1]Summ!C1049)</f>
        <v>0</v>
      </c>
      <c r="C11" s="215">
        <f>IF([1]Summ!D1049="",0,[1]Summ!D1049)</f>
        <v>0</v>
      </c>
      <c r="D11" s="24">
        <f t="shared" si="0"/>
        <v>0</v>
      </c>
      <c r="E11" s="75">
        <f>Poor!E11</f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2">
        <f t="shared" si="6"/>
        <v>0</v>
      </c>
      <c r="N11" s="227"/>
      <c r="O11" s="2"/>
      <c r="P11" s="22"/>
      <c r="Q11" s="59" t="s">
        <v>75</v>
      </c>
      <c r="R11" s="220">
        <f>IF($B$81=0,0,(SUMIF($N$6:$N$28,$U11,K$6:K$28)+SUMIF($N$91:$N$118,$U11,K$91:K$118))*$B$83*$H$84*Poor!$B$81/$B$81)</f>
        <v>1921.9158048747584</v>
      </c>
      <c r="S11" s="220">
        <f>IF($B$81=0,0,(SUMIF($N$6:$N$28,$U11,L$6:L$28)+SUMIF($N$91:$N$118,$U11,L$91:L$118))*$I$83*Poor!$B$81/$B$81)</f>
        <v>758.57142857142856</v>
      </c>
      <c r="T11" s="220">
        <f>IF($B$81=0,0,(SUMIF($N$6:$N$28,$U11,M$6:M$28)+SUMIF($N$91:$N$118,$U11,M$91:M$118))*$I$83*Poor!$B$81/$B$81)</f>
        <v>758.57142857142856</v>
      </c>
      <c r="U11" s="221">
        <v>5</v>
      </c>
      <c r="V11" s="56"/>
      <c r="W11" s="115"/>
      <c r="X11" s="118">
        <f>Poor!X11</f>
        <v>1</v>
      </c>
      <c r="Y11" s="183">
        <f t="shared" si="9"/>
        <v>0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>
        <f t="shared" si="13"/>
        <v>0</v>
      </c>
      <c r="AJ11" s="120">
        <f t="shared" si="14"/>
        <v>0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/>
      </c>
      <c r="B12" s="215">
        <f>IF([1]Summ!C1050="",0,[1]Summ!C1050)</f>
        <v>0</v>
      </c>
      <c r="C12" s="215">
        <f>IF([1]Summ!D1050="",0,[1]Summ!D1050)</f>
        <v>0</v>
      </c>
      <c r="D12" s="24">
        <f t="shared" si="0"/>
        <v>0</v>
      </c>
      <c r="E12" s="75">
        <f>Poor!E12</f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2">
        <f t="shared" si="6"/>
        <v>0</v>
      </c>
      <c r="N12" s="227"/>
      <c r="O12" s="2"/>
      <c r="P12" s="22"/>
      <c r="Q12" s="126" t="s">
        <v>124</v>
      </c>
      <c r="R12" s="220">
        <f>IF($B$81=0,0,(SUMIF($N$6:$N$28,$U12,K$6:K$28)+SUMIF($N$91:$N$118,$U12,K$91:K$118))*$B$83*$H$84*Poor!$B$81/$B$81)</f>
        <v>0</v>
      </c>
      <c r="S12" s="220">
        <f>IF($B$81=0,0,(SUMIF($N$6:$N$28,$U12,L$6:L$28)+SUMIF($N$91:$N$118,$U12,L$91:L$118))*$I$83*Poor!$B$81/$B$81)</f>
        <v>0</v>
      </c>
      <c r="T12" s="220">
        <f>IF($B$81=0,0,(SUMIF($N$6:$N$28,$U12,M$6:M$28)+SUMIF($N$91:$N$118,$U12,M$91:M$118))*$I$83*Poor!$B$81/$B$81)</f>
        <v>0</v>
      </c>
      <c r="U12" s="221">
        <v>6</v>
      </c>
      <c r="V12" s="56"/>
      <c r="W12" s="117"/>
      <c r="X12" s="118">
        <v>1</v>
      </c>
      <c r="Y12" s="183">
        <f t="shared" si="9"/>
        <v>0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/>
      </c>
      <c r="B13" s="215">
        <f>IF([1]Summ!C1051="",0,[1]Summ!C1051)</f>
        <v>0</v>
      </c>
      <c r="C13" s="215">
        <f>IF([1]Summ!D1051="",0,[1]Summ!D1051)</f>
        <v>0</v>
      </c>
      <c r="D13" s="24">
        <f t="shared" si="0"/>
        <v>0</v>
      </c>
      <c r="E13" s="75">
        <f>Poor!E13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3">
        <f t="shared" si="6"/>
        <v>0</v>
      </c>
      <c r="N13" s="227"/>
      <c r="O13" s="2"/>
      <c r="P13" s="22"/>
      <c r="Q13" s="59" t="s">
        <v>76</v>
      </c>
      <c r="R13" s="220">
        <f>IF($B$81=0,0,(SUMIF($N$6:$N$28,$U13,K$6:K$28)+SUMIF($N$91:$N$118,$U13,K$91:K$118))*$B$83*$H$84*Poor!$B$81/$B$81)</f>
        <v>11104.402428165269</v>
      </c>
      <c r="S13" s="220">
        <f>IF($B$81=0,0,(SUMIF($N$6:$N$28,$U13,L$6:L$28)+SUMIF($N$91:$N$118,$U13,L$91:L$118))*$I$83*Poor!$B$81/$B$81)</f>
        <v>4122.8571428571431</v>
      </c>
      <c r="T13" s="220">
        <f>IF($B$81=0,0,(SUMIF($N$6:$N$28,$U13,M$6:M$28)+SUMIF($N$91:$N$118,$U13,M$91:M$118))*$I$83*Poor!$B$81/$B$81)</f>
        <v>4122.8571428571431</v>
      </c>
      <c r="U13" s="221">
        <v>7</v>
      </c>
      <c r="V13" s="56"/>
      <c r="W13" s="110"/>
      <c r="X13" s="118"/>
      <c r="Y13" s="183">
        <f t="shared" si="9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/>
      </c>
      <c r="B14" s="215">
        <f>IF([1]Summ!C1052="",0,[1]Summ!C1052)</f>
        <v>0</v>
      </c>
      <c r="C14" s="215">
        <f>IF([1]Summ!D1052="",0,[1]Summ!D1052)</f>
        <v>0</v>
      </c>
      <c r="D14" s="24">
        <f t="shared" si="0"/>
        <v>0</v>
      </c>
      <c r="E14" s="75">
        <f>Poor!E14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3">
        <f t="shared" si="6"/>
        <v>0</v>
      </c>
      <c r="N14" s="227"/>
      <c r="O14" s="2"/>
      <c r="P14" s="22"/>
      <c r="Q14" s="126" t="s">
        <v>77</v>
      </c>
      <c r="R14" s="220">
        <f>IF($B$81=0,0,(SUMIF($N$6:$N$28,$U14,K$6:K$28)+SUMIF($N$91:$N$118,$U14,K$91:K$118))*$B$83*$H$84*Poor!$B$81/$B$81)</f>
        <v>0</v>
      </c>
      <c r="S14" s="220">
        <f>IF($B$81=0,0,(SUMIF($N$6:$N$28,$U14,L$6:L$28)+SUMIF($N$91:$N$118,$U14,L$91:L$118))*$I$83*Poor!$B$81/$B$81)</f>
        <v>0</v>
      </c>
      <c r="T14" s="220">
        <f>IF($B$81=0,0,(SUMIF($N$6:$N$28,$U14,M$6:M$28)+SUMIF($N$91:$N$118,$U14,M$91:M$118))*$I$83*Poor!$B$81/$B$81)</f>
        <v>0</v>
      </c>
      <c r="U14" s="221">
        <v>8</v>
      </c>
      <c r="V14" s="56"/>
      <c r="W14" s="110"/>
      <c r="X14" s="118"/>
      <c r="Y14" s="183">
        <f>M14*4</f>
        <v>0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/>
      </c>
      <c r="B15" s="215">
        <f>IF([1]Summ!C1053="",0,[1]Summ!C1053)</f>
        <v>0</v>
      </c>
      <c r="C15" s="215">
        <f>IF([1]Summ!D1053="",0,[1]Summ!D1053)</f>
        <v>0</v>
      </c>
      <c r="D15" s="24">
        <f t="shared" si="0"/>
        <v>0</v>
      </c>
      <c r="E15" s="75">
        <f>Poor!E15</f>
        <v>1</v>
      </c>
      <c r="F15" s="22"/>
      <c r="H15" s="24">
        <f t="shared" si="1"/>
        <v>1</v>
      </c>
      <c r="I15" s="22">
        <f t="shared" si="2"/>
        <v>0</v>
      </c>
      <c r="J15" s="24">
        <f t="shared" ref="J15:J25" si="17">IF(I$32&lt;=1+I131,I15,B15*H15+J$33*(I15-B15*H15))</f>
        <v>0</v>
      </c>
      <c r="K15" s="22">
        <f t="shared" si="4"/>
        <v>0</v>
      </c>
      <c r="L15" s="22">
        <f t="shared" si="5"/>
        <v>0</v>
      </c>
      <c r="M15" s="224">
        <f t="shared" si="6"/>
        <v>0</v>
      </c>
      <c r="N15" s="227"/>
      <c r="O15" s="2"/>
      <c r="P15" s="22"/>
      <c r="Q15" s="59" t="s">
        <v>128</v>
      </c>
      <c r="R15" s="220">
        <f>IF($B$81=0,0,(SUMIF($N$6:$N$28,$U15,K$6:K$28)+SUMIF($N$91:$N$118,$U15,K$91:K$118))*$B$83*$H$84*Poor!$B$81/$B$81)</f>
        <v>0</v>
      </c>
      <c r="S15" s="220">
        <f>IF($B$81=0,0,(SUMIF($N$6:$N$28,$U15,L$6:L$28)+SUMIF($N$91:$N$118,$U15,L$91:L$118))*$I$83*Poor!$B$81/$B$81)</f>
        <v>0</v>
      </c>
      <c r="T15" s="220">
        <f>IF($B$81=0,0,(SUMIF($N$6:$N$28,$U15,M$6:M$28)+SUMIF($N$91:$N$118,$U15,M$91:M$118))*$I$83*Poor!$B$81/$B$81)</f>
        <v>0</v>
      </c>
      <c r="U15" s="221">
        <v>9</v>
      </c>
      <c r="V15" s="56"/>
      <c r="W15" s="110"/>
      <c r="X15" s="118"/>
      <c r="Y15" s="183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/>
      </c>
      <c r="B16" s="215">
        <f>IF([1]Summ!C1054="",0,[1]Summ!C1054)</f>
        <v>0</v>
      </c>
      <c r="C16" s="215">
        <f>IF([1]Summ!D1054="",0,[1]Summ!D1054)</f>
        <v>0</v>
      </c>
      <c r="D16" s="24">
        <f t="shared" ref="D16:D25" si="18">(B16+C16)</f>
        <v>0</v>
      </c>
      <c r="E16" s="75">
        <f>Poor!E16</f>
        <v>1</v>
      </c>
      <c r="F16" s="22"/>
      <c r="H16" s="24">
        <f t="shared" ref="H16:H25" si="19">(E16*F$7/F$9)</f>
        <v>1</v>
      </c>
      <c r="I16" s="22">
        <f t="shared" ref="I16:I25" si="20">(D16*H16)</f>
        <v>0</v>
      </c>
      <c r="J16" s="24">
        <f t="shared" si="17"/>
        <v>0</v>
      </c>
      <c r="K16" s="22">
        <f t="shared" ref="K16:K25" si="21">B16</f>
        <v>0</v>
      </c>
      <c r="L16" s="22">
        <f t="shared" ref="L16:L25" si="22">IF(K16="","",K16*H16)</f>
        <v>0</v>
      </c>
      <c r="M16" s="224">
        <f t="shared" ref="M16:M25" si="23">J16</f>
        <v>0</v>
      </c>
      <c r="N16" s="227"/>
      <c r="O16" s="2"/>
      <c r="P16" s="22"/>
      <c r="Q16" s="126" t="s">
        <v>78</v>
      </c>
      <c r="R16" s="220">
        <f>IF($B$81=0,0,(SUMIF($N$6:$N$28,$U16,K$6:K$28)+SUMIF($N$91:$N$118,$U16,K$91:K$118))*$B$83*$H$84*Poor!$B$81/$B$81)</f>
        <v>0</v>
      </c>
      <c r="S16" s="220">
        <f>IF($B$81=0,0,(SUMIF($N$6:$N$28,$U16,L$6:L$28)+SUMIF($N$91:$N$118,$U16,L$91:L$118))*$I$83*Poor!$B$81/$B$81)</f>
        <v>0</v>
      </c>
      <c r="T16" s="220">
        <f>IF($B$81=0,0,(SUMIF($N$6:$N$28,$U16,M$6:M$28)+SUMIF($N$91:$N$118,$U16,M$91:M$118))*$I$83*Poor!$B$81/$B$81)</f>
        <v>0</v>
      </c>
      <c r="U16" s="221">
        <v>10</v>
      </c>
      <c r="V16" s="56"/>
      <c r="W16" s="110"/>
      <c r="X16" s="118"/>
      <c r="Y16" s="183"/>
      <c r="Z16" s="156"/>
      <c r="AA16" s="121"/>
      <c r="AB16" s="156"/>
      <c r="AC16" s="121"/>
      <c r="AD16" s="156"/>
      <c r="AE16" s="121"/>
      <c r="AF16" s="122"/>
      <c r="AG16" s="121"/>
      <c r="AH16" s="123"/>
      <c r="AI16" s="183"/>
      <c r="AJ16" s="120"/>
      <c r="AK16" s="119"/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/>
      </c>
      <c r="B17" s="215">
        <f>IF([1]Summ!C1055="",0,[1]Summ!C1055)</f>
        <v>0</v>
      </c>
      <c r="C17" s="215">
        <f>IF([1]Summ!D1055="",0,[1]Summ!D1055)</f>
        <v>0</v>
      </c>
      <c r="D17" s="24">
        <f t="shared" si="18"/>
        <v>0</v>
      </c>
      <c r="E17" s="75">
        <f>Poor!E17</f>
        <v>1</v>
      </c>
      <c r="F17" s="22"/>
      <c r="H17" s="24">
        <f t="shared" si="19"/>
        <v>1</v>
      </c>
      <c r="I17" s="22">
        <f t="shared" si="20"/>
        <v>0</v>
      </c>
      <c r="J17" s="24">
        <f t="shared" si="17"/>
        <v>0</v>
      </c>
      <c r="K17" s="22">
        <f t="shared" si="21"/>
        <v>0</v>
      </c>
      <c r="L17" s="22">
        <f t="shared" si="22"/>
        <v>0</v>
      </c>
      <c r="M17" s="224">
        <f t="shared" si="23"/>
        <v>0</v>
      </c>
      <c r="N17" s="227"/>
      <c r="O17" s="2"/>
      <c r="P17" s="22"/>
      <c r="Q17" s="126" t="s">
        <v>125</v>
      </c>
      <c r="R17" s="220">
        <f>IF($B$81=0,0,(SUMIF($N$6:$N$28,$U17,K$6:K$28)+SUMIF($N$91:$N$118,$U17,K$91:K$118))*$B$83*$H$84*Poor!$B$81/$B$81)</f>
        <v>0</v>
      </c>
      <c r="S17" s="220">
        <f>IF($B$81=0,0,(SUMIF($N$6:$N$28,$U17,L$6:L$28)+SUMIF($N$91:$N$118,$U17,L$91:L$118))*$I$83*Poor!$B$81/$B$81)</f>
        <v>0</v>
      </c>
      <c r="T17" s="220">
        <f>IF($B$81=0,0,(SUMIF($N$6:$N$28,$U17,M$6:M$28)+SUMIF($N$91:$N$118,$U17,M$91:M$118))*$I$83*Poor!$B$81/$B$81)</f>
        <v>0</v>
      </c>
      <c r="U17" s="221">
        <v>11</v>
      </c>
      <c r="V17" s="56"/>
      <c r="W17" s="110"/>
      <c r="X17" s="118"/>
      <c r="Y17" s="183"/>
      <c r="Z17" s="156"/>
      <c r="AA17" s="121"/>
      <c r="AB17" s="156"/>
      <c r="AC17" s="121"/>
      <c r="AD17" s="156"/>
      <c r="AE17" s="121"/>
      <c r="AF17" s="122"/>
      <c r="AG17" s="121"/>
      <c r="AH17" s="123"/>
      <c r="AI17" s="183"/>
      <c r="AJ17" s="120"/>
      <c r="AK17" s="119"/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/>
      </c>
      <c r="B18" s="215">
        <f>IF([1]Summ!C1056="",0,[1]Summ!C1056)</f>
        <v>0</v>
      </c>
      <c r="C18" s="215">
        <f>IF([1]Summ!D1056="",0,[1]Summ!D1056)</f>
        <v>0</v>
      </c>
      <c r="D18" s="24">
        <f t="shared" si="18"/>
        <v>0</v>
      </c>
      <c r="E18" s="75">
        <f>Poor!E18</f>
        <v>1</v>
      </c>
      <c r="F18" s="22"/>
      <c r="H18" s="24">
        <f t="shared" si="19"/>
        <v>1</v>
      </c>
      <c r="I18" s="22">
        <f t="shared" si="20"/>
        <v>0</v>
      </c>
      <c r="J18" s="24">
        <f t="shared" si="17"/>
        <v>0</v>
      </c>
      <c r="K18" s="22">
        <f t="shared" si="21"/>
        <v>0</v>
      </c>
      <c r="L18" s="22">
        <f t="shared" si="22"/>
        <v>0</v>
      </c>
      <c r="M18" s="224">
        <f t="shared" si="23"/>
        <v>0</v>
      </c>
      <c r="N18" s="227"/>
      <c r="O18" s="2"/>
      <c r="P18" s="22"/>
      <c r="Q18" s="59" t="s">
        <v>79</v>
      </c>
      <c r="R18" s="220">
        <f>IF($B$81=0,0,(SUMIF($N$6:$N$28,$U18,K$6:K$28)+SUMIF($N$91:$N$118,$U18,K$91:K$118))*$B$83*$H$84*Poor!$B$81/$B$81)</f>
        <v>2094.7120172507834</v>
      </c>
      <c r="S18" s="220">
        <f>IF($B$81=0,0,(SUMIF($N$6:$N$28,$U18,L$6:L$28)+SUMIF($N$91:$N$118,$U18,L$91:L$118))*$I$83*Poor!$B$81/$B$81)</f>
        <v>2312.1626405482261</v>
      </c>
      <c r="T18" s="220">
        <f>IF($B$81=0,0,(SUMIF($N$6:$N$28,$U18,M$6:M$28)+SUMIF($N$91:$N$118,$U18,M$91:M$118))*$I$83*Poor!$B$81/$B$81)</f>
        <v>2312.1626405482261</v>
      </c>
      <c r="U18" s="221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/>
      </c>
      <c r="B19" s="215">
        <f>IF([1]Summ!C1057="",0,[1]Summ!C1057)</f>
        <v>0</v>
      </c>
      <c r="C19" s="215">
        <f>IF([1]Summ!D1057="",0,[1]Summ!D1057)</f>
        <v>0</v>
      </c>
      <c r="D19" s="24">
        <f t="shared" si="18"/>
        <v>0</v>
      </c>
      <c r="E19" s="75">
        <f>Poor!E19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4">
        <f t="shared" si="23"/>
        <v>0</v>
      </c>
      <c r="N19" s="227"/>
      <c r="O19" s="2"/>
      <c r="P19" s="22"/>
      <c r="Q19" s="59" t="s">
        <v>80</v>
      </c>
      <c r="R19" s="220">
        <f>IF($B$81=0,0,(SUMIF($N$6:$N$28,$U19,K$6:K$28)+SUMIF($N$91:$N$118,$U19,K$91:K$118))*$B$83*$H$84*Poor!$B$81/$B$81)</f>
        <v>0</v>
      </c>
      <c r="S19" s="220">
        <f>IF($B$81=0,0,(SUMIF($N$6:$N$28,$U19,L$6:L$28)+SUMIF($N$91:$N$118,$U19,L$91:L$118))*$I$83*Poor!$B$81/$B$81)</f>
        <v>0</v>
      </c>
      <c r="T19" s="220">
        <f>IF($B$81=0,0,(SUMIF($N$6:$N$28,$U19,M$6:M$28)+SUMIF($N$91:$N$118,$U19,M$91:M$118))*$I$83*Poor!$B$81/$B$81)</f>
        <v>0</v>
      </c>
      <c r="U19" s="221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/>
      </c>
      <c r="B20" s="215">
        <f>IF([1]Summ!C1058="",0,[1]Summ!C1058)</f>
        <v>0</v>
      </c>
      <c r="C20" s="215">
        <f>IF([1]Summ!D1058="",0,[1]Summ!D1058)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4">
        <f t="shared" si="23"/>
        <v>0</v>
      </c>
      <c r="N20" s="227"/>
      <c r="O20" s="2"/>
      <c r="P20" s="22"/>
      <c r="Q20" s="59" t="s">
        <v>81</v>
      </c>
      <c r="R20" s="220">
        <f>IF($B$81=0,0,(SUMIF($N$6:$N$28,$U20,K$6:K$28)+SUMIF($N$91:$N$118,$U20,K$91:K$118))*$B$83*$H$84*Poor!$B$81/$B$81)</f>
        <v>34543.233399615659</v>
      </c>
      <c r="S20" s="220">
        <f>IF($B$81=0,0,(SUMIF($N$6:$N$28,$U20,L$6:L$28)+SUMIF($N$91:$N$118,$U20,L$91:L$118))*$I$83*Poor!$B$81/$B$81)</f>
        <v>0</v>
      </c>
      <c r="T20" s="220">
        <f>IF($B$81=0,0,(SUMIF($N$6:$N$28,$U20,M$6:M$28)+SUMIF($N$91:$N$118,$U20,M$91:M$118))*$I$83*Poor!$B$81/$B$81)</f>
        <v>0</v>
      </c>
      <c r="U20" s="221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215">
        <f>IF([1]Summ!C1059="",0,[1]Summ!C1059)</f>
        <v>0</v>
      </c>
      <c r="C21" s="215">
        <f>IF([1]Summ!D1059="",0,[1]Summ!D1059)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4">
        <f t="shared" si="23"/>
        <v>0</v>
      </c>
      <c r="N21" s="227"/>
      <c r="O21" s="2"/>
      <c r="P21" s="22"/>
      <c r="Q21" s="59" t="s">
        <v>82</v>
      </c>
      <c r="R21" s="220">
        <f>IF($B$81=0,0,(SUMIF($N$6:$N$28,$U21,K$6:K$28)+SUMIF($N$91:$N$118,$U21,K$91:K$118))*$B$83*$H$84*Poor!$B$81/$B$81)</f>
        <v>0</v>
      </c>
      <c r="S21" s="220">
        <f>IF($B$81=0,0,(SUMIF($N$6:$N$28,$U21,L$6:L$28)+SUMIF($N$91:$N$118,$U21,L$91:L$118))*$I$83*Poor!$B$81/$B$81)</f>
        <v>0</v>
      </c>
      <c r="T21" s="220">
        <f>IF($B$81=0,0,(SUMIF($N$6:$N$28,$U21,M$6:M$28)+SUMIF($N$91:$N$118,$U21,M$91:M$118))*$I$83*Poor!$B$81/$B$81)</f>
        <v>0</v>
      </c>
      <c r="U21" s="221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215">
        <f>IF([1]Summ!C1060="",0,[1]Summ!C1060)</f>
        <v>0</v>
      </c>
      <c r="C22" s="215">
        <f>IF([1]Summ!D1060="",0,[1]Summ!D1060)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4">
        <f t="shared" si="23"/>
        <v>0</v>
      </c>
      <c r="N22" s="227"/>
      <c r="O22" s="2"/>
      <c r="P22" s="22"/>
      <c r="Q22" s="59" t="s">
        <v>83</v>
      </c>
      <c r="R22" s="220">
        <f>IF($B$81=0,0,(SUMIF($N$6:$N$28,$U22,K$6:K$28)+SUMIF($N$91:$N$118,$U22,K$91:K$118))*$B$83*$H$84*Poor!$B$81/$B$81)</f>
        <v>0</v>
      </c>
      <c r="S22" s="220">
        <f>IF($B$81=0,0,(SUMIF($N$6:$N$28,$U22,L$6:L$28)+SUMIF($N$91:$N$118,$U22,L$91:L$118))*$I$83*Poor!$B$81/$B$81)</f>
        <v>0</v>
      </c>
      <c r="T22" s="220">
        <f>IF($B$81=0,0,(SUMIF($N$6:$N$28,$U22,M$6:M$28)+SUMIF($N$91:$N$118,$U22,M$91:M$118))*$I$83*Poor!$B$81/$B$81)</f>
        <v>0</v>
      </c>
      <c r="U22" s="221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215">
        <f>IF([1]Summ!C1061="",0,[1]Summ!C1061)</f>
        <v>0</v>
      </c>
      <c r="C23" s="215">
        <f>IF([1]Summ!D1061="",0,[1]Summ!D1061)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4">
        <f t="shared" si="23"/>
        <v>0</v>
      </c>
      <c r="N23" s="227"/>
      <c r="O23" s="2"/>
      <c r="P23" s="22"/>
      <c r="Q23" s="171" t="s">
        <v>100</v>
      </c>
      <c r="R23" s="179">
        <f>SUM(R7:R22)</f>
        <v>51313.710785378913</v>
      </c>
      <c r="S23" s="179">
        <f>SUM(S7:S22)</f>
        <v>7646.9995872137933</v>
      </c>
      <c r="T23" s="179">
        <f>SUM(T7:T22)</f>
        <v>7646.9995872137933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215">
        <f>IF([1]Summ!C1062="",0,[1]Summ!C1062)</f>
        <v>0</v>
      </c>
      <c r="C24" s="215">
        <f>IF([1]Summ!D1062="",0,[1]Summ!D1062)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4">
        <f t="shared" si="23"/>
        <v>0</v>
      </c>
      <c r="N24" s="227"/>
      <c r="O24" s="2"/>
      <c r="P24" s="22"/>
      <c r="Q24" s="59" t="s">
        <v>137</v>
      </c>
      <c r="R24" s="41">
        <f>IF($B$81=0,0,(SUM(($B$70*$H$70))+((1-$D$29)*$I$83))*Poor!$B$81/$B$81)</f>
        <v>35969.406972062061</v>
      </c>
      <c r="S24" s="41">
        <f>IF($B$81=0,0,(SUM(($B$70*$H$70))+((1-$D$29)*$I$83))*Poor!$B$81/$B$81)</f>
        <v>35969.406972062061</v>
      </c>
      <c r="T24" s="41">
        <f>IF($B$81=0,0,(SUM(($B$70*$H$70))+((1-$D$29)*$I$83))*Poor!$B$81/$B$81)</f>
        <v>35969.406972062061</v>
      </c>
      <c r="U24" s="56"/>
      <c r="V24" s="56"/>
      <c r="W24" s="110"/>
      <c r="X24" s="118"/>
      <c r="Y24" s="183">
        <f t="shared" si="9"/>
        <v>0</v>
      </c>
      <c r="Z24" s="156">
        <f>Poor!Z16</f>
        <v>0</v>
      </c>
      <c r="AA24" s="121">
        <f t="shared" si="16"/>
        <v>0</v>
      </c>
      <c r="AB24" s="156">
        <f>Poor!AB16</f>
        <v>0</v>
      </c>
      <c r="AC24" s="121">
        <f t="shared" si="7"/>
        <v>0</v>
      </c>
      <c r="AD24" s="156">
        <f>Poor!AD16</f>
        <v>0</v>
      </c>
      <c r="AE24" s="121">
        <f t="shared" si="8"/>
        <v>0</v>
      </c>
      <c r="AF24" s="122">
        <f t="shared" si="10"/>
        <v>1</v>
      </c>
      <c r="AG24" s="121">
        <f t="shared" si="11"/>
        <v>0</v>
      </c>
      <c r="AH24" s="123">
        <f t="shared" si="12"/>
        <v>1</v>
      </c>
      <c r="AI24" s="183">
        <f t="shared" si="13"/>
        <v>0</v>
      </c>
      <c r="AJ24" s="120">
        <f t="shared" si="14"/>
        <v>0</v>
      </c>
      <c r="AK24" s="119">
        <f t="shared" si="15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215">
        <f>IF([1]Summ!C1063="",0,[1]Summ!C1063)</f>
        <v>0</v>
      </c>
      <c r="C25" s="215">
        <f>IF([1]Summ!D1063="",0,[1]Summ!D1063)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4">
        <f t="shared" si="23"/>
        <v>0</v>
      </c>
      <c r="N25" s="227"/>
      <c r="O25" s="2"/>
      <c r="P25" s="22"/>
      <c r="Q25" s="142" t="s">
        <v>138</v>
      </c>
      <c r="R25" s="41">
        <f>IF($B$81=0,0,(SUM(($B$70*$H$70),($B$71*$H$71))+((1-$D$29)*$I$83))*Poor!$B$81/$B$81)</f>
        <v>54352.233638728721</v>
      </c>
      <c r="S25" s="41">
        <f>IF($B$81=0,0,(SUM(($B$70*$H$70),($B$71*$H$71))+((1-$D$29)*$I$83))*Poor!$B$81/$B$81)</f>
        <v>54352.233638728721</v>
      </c>
      <c r="T25" s="41">
        <f>IF($B$81=0,0,(SUM(($B$70*$H$70),($B$71*$H$71))+((1-$D$29)*$I$83))*Poor!$B$81/$B$81)</f>
        <v>54352.233638728721</v>
      </c>
      <c r="U25" s="56"/>
      <c r="V25" s="56"/>
      <c r="W25" s="110"/>
      <c r="X25" s="118"/>
      <c r="Y25" s="183">
        <f t="shared" si="9"/>
        <v>0</v>
      </c>
      <c r="Z25" s="156">
        <f>Poor!Z17</f>
        <v>0.29409999999999997</v>
      </c>
      <c r="AA25" s="121">
        <f t="shared" si="16"/>
        <v>0</v>
      </c>
      <c r="AB25" s="156">
        <f>Poor!AB17</f>
        <v>0.17649999999999999</v>
      </c>
      <c r="AC25" s="121">
        <f t="shared" si="7"/>
        <v>0</v>
      </c>
      <c r="AD25" s="156">
        <f>Poor!AD17</f>
        <v>0.23530000000000001</v>
      </c>
      <c r="AE25" s="121">
        <f t="shared" si="8"/>
        <v>0</v>
      </c>
      <c r="AF25" s="122">
        <f t="shared" si="10"/>
        <v>0.29410000000000003</v>
      </c>
      <c r="AG25" s="121">
        <f t="shared" si="11"/>
        <v>0</v>
      </c>
      <c r="AH25" s="123">
        <f t="shared" si="12"/>
        <v>1</v>
      </c>
      <c r="AI25" s="183">
        <f t="shared" si="13"/>
        <v>0</v>
      </c>
      <c r="AJ25" s="120">
        <f t="shared" si="14"/>
        <v>0</v>
      </c>
      <c r="AK25" s="119">
        <f t="shared" si="15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215">
        <f>IF([1]Summ!C1064="",0,[1]Summ!C1064)</f>
        <v>0.11904761904761904</v>
      </c>
      <c r="C26" s="215">
        <f>IF([1]Summ!D1064="",0,[1]Summ!D1064)</f>
        <v>0</v>
      </c>
      <c r="D26" s="24">
        <f t="shared" si="0"/>
        <v>0.11904761904761904</v>
      </c>
      <c r="E26" s="75">
        <f>Poor!E26</f>
        <v>1</v>
      </c>
      <c r="F26" s="22"/>
      <c r="H26" s="24">
        <f t="shared" si="1"/>
        <v>1</v>
      </c>
      <c r="I26" s="22">
        <f t="shared" si="2"/>
        <v>0.11904761904761904</v>
      </c>
      <c r="J26" s="24">
        <f>IF(I$32&lt;=1+I131,I26,B26*H26+J$33*(I26-B26*H26))</f>
        <v>0.11904761904761904</v>
      </c>
      <c r="K26" s="22">
        <f t="shared" si="4"/>
        <v>0.11904761904761904</v>
      </c>
      <c r="L26" s="22">
        <f t="shared" si="5"/>
        <v>0.11904761904761904</v>
      </c>
      <c r="M26" s="222">
        <f t="shared" si="6"/>
        <v>0.11904761904761904</v>
      </c>
      <c r="N26" s="227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87090.153638728734</v>
      </c>
      <c r="S26" s="41">
        <f>IF($B$81=0,0,(SUM(($B$70*$H$70),($B$71*$H$71),($B$72*$H$72))+((1-$D$29)*$I$83))*Poor!$B$81/$B$81)</f>
        <v>87090.153638728734</v>
      </c>
      <c r="T26" s="41">
        <f>IF($B$81=0,0,(SUM(($B$70*$H$70),($B$71*$H$71),($B$72*$H$72))+((1-$D$29)*$I$83))*Poor!$B$81/$B$81)</f>
        <v>87090.153638728734</v>
      </c>
      <c r="U26" s="56"/>
      <c r="V26" s="56"/>
      <c r="W26" s="110"/>
      <c r="X26" s="118"/>
      <c r="Y26" s="183">
        <f t="shared" si="9"/>
        <v>0.47619047619047616</v>
      </c>
      <c r="Z26" s="156">
        <f>Poor!Z26</f>
        <v>0.25</v>
      </c>
      <c r="AA26" s="121">
        <f t="shared" si="16"/>
        <v>0.11904761904761904</v>
      </c>
      <c r="AB26" s="156">
        <f>Poor!AB26</f>
        <v>0.25</v>
      </c>
      <c r="AC26" s="121">
        <f t="shared" si="7"/>
        <v>0.11904761904761904</v>
      </c>
      <c r="AD26" s="156">
        <f>Poor!AD26</f>
        <v>0.25</v>
      </c>
      <c r="AE26" s="121">
        <f t="shared" si="8"/>
        <v>0.11904761904761904</v>
      </c>
      <c r="AF26" s="122">
        <f t="shared" si="10"/>
        <v>0.25</v>
      </c>
      <c r="AG26" s="121">
        <f t="shared" si="11"/>
        <v>0.11904761904761904</v>
      </c>
      <c r="AH26" s="123">
        <f t="shared" si="12"/>
        <v>1</v>
      </c>
      <c r="AI26" s="183">
        <f t="shared" si="13"/>
        <v>0.11904761904761904</v>
      </c>
      <c r="AJ26" s="120">
        <f t="shared" si="14"/>
        <v>0.11904761904761904</v>
      </c>
      <c r="AK26" s="119">
        <f t="shared" si="15"/>
        <v>0.11904761904761904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215">
        <f>IF([1]Summ!C1065="",0,[1]Summ!C1065)</f>
        <v>3.0300484611279131E-2</v>
      </c>
      <c r="C27" s="215">
        <f>IF([1]Summ!D1065="",0,[1]Summ!D1065)</f>
        <v>-3.0300484611279131E-2</v>
      </c>
      <c r="D27" s="24">
        <f t="shared" si="0"/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3.0300484611279131E-2</v>
      </c>
      <c r="L27" s="22">
        <f t="shared" si="5"/>
        <v>3.0300484611279131E-2</v>
      </c>
      <c r="M27" s="224">
        <f t="shared" si="6"/>
        <v>0</v>
      </c>
      <c r="N27" s="227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 t="shared" si="7"/>
        <v>0</v>
      </c>
      <c r="AD27" s="156">
        <f>Poor!AD27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215">
        <f>IF([1]Summ!C1066="",0,[1]Summ!C1066)</f>
        <v>0</v>
      </c>
      <c r="C28" s="215">
        <f>IF([1]Summ!D1066="",0,[1]Summ!D1066)</f>
        <v>0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2">
        <f t="shared" si="6"/>
        <v>0</v>
      </c>
      <c r="N28" s="227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215">
        <f>IF([1]Summ!C1067="",0,[1]Summ!C1067)</f>
        <v>0.21728754598825828</v>
      </c>
      <c r="C29" s="215">
        <f>IF([1]Summ!D1067="",0,[1]Summ!D1067)</f>
        <v>7.3492279537387467E-3</v>
      </c>
      <c r="D29" s="24">
        <f>(B29+C29)</f>
        <v>0.22463677394199702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0.22463677394199702</v>
      </c>
      <c r="J29" s="24">
        <f>IF(I$32&lt;=1+I131,I29,B29*H29+J$33*(I29-B29*H29))</f>
        <v>0.22463677394199702</v>
      </c>
      <c r="K29" s="22">
        <f t="shared" si="4"/>
        <v>0.21728754598825828</v>
      </c>
      <c r="L29" s="22">
        <f t="shared" si="5"/>
        <v>0.21728754598825828</v>
      </c>
      <c r="M29" s="222">
        <f t="shared" si="6"/>
        <v>0.22463677394199702</v>
      </c>
      <c r="N29" s="227"/>
      <c r="P29" s="22"/>
      <c r="V29" s="56"/>
      <c r="W29" s="110"/>
      <c r="X29" s="118"/>
      <c r="Y29" s="183">
        <f t="shared" si="9"/>
        <v>0.89854709576798808</v>
      </c>
      <c r="Z29" s="156">
        <f>Poor!Z29</f>
        <v>0.25</v>
      </c>
      <c r="AA29" s="121">
        <f t="shared" si="16"/>
        <v>0.22463677394199702</v>
      </c>
      <c r="AB29" s="156">
        <f>Poor!AB29</f>
        <v>0.25</v>
      </c>
      <c r="AC29" s="121">
        <f t="shared" si="7"/>
        <v>0.22463677394199702</v>
      </c>
      <c r="AD29" s="156">
        <f>Poor!AD29</f>
        <v>0.25</v>
      </c>
      <c r="AE29" s="121">
        <f t="shared" si="8"/>
        <v>0.22463677394199702</v>
      </c>
      <c r="AF29" s="122">
        <f t="shared" si="10"/>
        <v>0.25</v>
      </c>
      <c r="AG29" s="121">
        <f t="shared" si="11"/>
        <v>0.22463677394199702</v>
      </c>
      <c r="AH29" s="123">
        <f t="shared" si="12"/>
        <v>1</v>
      </c>
      <c r="AI29" s="183">
        <f t="shared" si="13"/>
        <v>0.22463677394199702</v>
      </c>
      <c r="AJ29" s="120">
        <f t="shared" si="14"/>
        <v>0.22463677394199702</v>
      </c>
      <c r="AK29" s="119">
        <f t="shared" si="15"/>
        <v>0.22463677394199702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215">
        <f>IF([1]Summ!C1068="",0,[1]Summ!C1068)</f>
        <v>0.68939859227895406</v>
      </c>
      <c r="C30" s="103"/>
      <c r="D30" s="24">
        <f>(D119-B124)</f>
        <v>1.434627884435284</v>
      </c>
      <c r="E30" s="75">
        <f>Poor!E30</f>
        <v>1</v>
      </c>
      <c r="H30" s="96">
        <f>(E30*F$7/F$9)</f>
        <v>1</v>
      </c>
      <c r="I30" s="29">
        <f>IF(E30&gt;=1,I119-I124,MIN(I119-I124,B30*H30))</f>
        <v>0</v>
      </c>
      <c r="J30" s="229">
        <f>IF(I$32&lt;=1,I30,1-SUM(J6:J29))</f>
        <v>0</v>
      </c>
      <c r="K30" s="22">
        <f t="shared" si="4"/>
        <v>0.68939859227895406</v>
      </c>
      <c r="L30" s="22">
        <f>IF(L124=L119,0,IF(K30="",0,(L119-L124)/(B119-B124)*K30))</f>
        <v>0</v>
      </c>
      <c r="M30" s="175">
        <f t="shared" si="6"/>
        <v>0</v>
      </c>
      <c r="N30" s="166" t="s">
        <v>86</v>
      </c>
      <c r="O30" s="2"/>
      <c r="P30" s="22"/>
      <c r="Q30" s="232" t="s">
        <v>141</v>
      </c>
      <c r="R30" s="232">
        <f t="shared" ref="R30:T32" si="24">IF(R24&gt;R$23,R24-R$23,0)</f>
        <v>0</v>
      </c>
      <c r="S30" s="232">
        <f t="shared" si="24"/>
        <v>28322.407384848266</v>
      </c>
      <c r="T30" s="232">
        <f t="shared" si="24"/>
        <v>28322.407384848266</v>
      </c>
      <c r="V30" s="56"/>
      <c r="W30" s="110"/>
      <c r="X30" s="118"/>
      <c r="Y30" s="183">
        <f>M30*4</f>
        <v>0</v>
      </c>
      <c r="Z30" s="122">
        <f>IF($Y30=0,0,AA30/($Y$30))</f>
        <v>0</v>
      </c>
      <c r="AA30" s="187">
        <f>IF(AA79*4/$I$83+SUM(AA6:AA29)&lt;1,AA79*4/$I$83,1-SUM(AA6:AA29))</f>
        <v>0.11717098209090626</v>
      </c>
      <c r="AB30" s="122">
        <f>IF($Y30=0,0,AC30/($Y$30))</f>
        <v>0</v>
      </c>
      <c r="AC30" s="187">
        <f>IF(AC79*4/$I$83+SUM(AC6:AC29)&lt;1,AC79*4/$I$83,1-SUM(AC6:AC29))</f>
        <v>-3.9056994030302064E-2</v>
      </c>
      <c r="AD30" s="122">
        <f>IF($Y30=0,0,AE30/($Y$30))</f>
        <v>0</v>
      </c>
      <c r="AE30" s="187">
        <f>IF(AE79*4/$I$83+SUM(AE6:AE29)&lt;1,AE79*4/$I$83,1-SUM(AE6:AE29))</f>
        <v>-3.9056994030302064E-2</v>
      </c>
      <c r="AF30" s="122">
        <f>IF($Y30=0,0,AG30/($Y$30))</f>
        <v>0</v>
      </c>
      <c r="AG30" s="187">
        <f>IF(AG79*4/$I$83+SUM(AG6:AG29)&lt;1,AG79*4/$I$83,1-SUM(AG6:AG29))</f>
        <v>-3.9056994030302064E-2</v>
      </c>
      <c r="AH30" s="123">
        <f t="shared" si="12"/>
        <v>0</v>
      </c>
      <c r="AI30" s="183">
        <f t="shared" si="13"/>
        <v>1.7347234759768071E-17</v>
      </c>
      <c r="AJ30" s="120">
        <f t="shared" si="14"/>
        <v>3.9056994030302099E-2</v>
      </c>
      <c r="AK30" s="119">
        <f t="shared" si="15"/>
        <v>-3.9056994030302064E-2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215" t="str">
        <f>IF(1-$B$32&gt;0,1-$B$32,"")</f>
        <v/>
      </c>
      <c r="C31" s="77"/>
      <c r="D31" s="24"/>
      <c r="E31" s="22"/>
      <c r="F31" s="22"/>
      <c r="H31" s="24"/>
      <c r="I31" s="22"/>
      <c r="J31" s="230">
        <f>(1-SUM(J6:J30))</f>
        <v>0.63297071483817258</v>
      </c>
      <c r="K31" s="22" t="str">
        <f t="shared" si="4"/>
        <v/>
      </c>
      <c r="L31" s="22">
        <f>(1-SUM(L6:L30))</f>
        <v>0.61001945818063219</v>
      </c>
      <c r="M31" s="239">
        <f t="shared" si="6"/>
        <v>0.63297071483817258</v>
      </c>
      <c r="N31" s="167">
        <f>M31*I83</f>
        <v>10756.954609662967</v>
      </c>
      <c r="P31" s="22"/>
      <c r="Q31" s="236" t="s">
        <v>142</v>
      </c>
      <c r="R31" s="232">
        <f t="shared" si="24"/>
        <v>3038.5228533498084</v>
      </c>
      <c r="S31" s="232">
        <f t="shared" si="24"/>
        <v>46705.234051514926</v>
      </c>
      <c r="T31" s="232">
        <f>IF(T25&gt;T$23,T25-T$23,0)</f>
        <v>46705.234051514926</v>
      </c>
      <c r="V31" s="56"/>
      <c r="W31" s="129" t="s">
        <v>84</v>
      </c>
      <c r="X31" s="130"/>
      <c r="Y31" s="121">
        <f>M31*4</f>
        <v>2.5318828593526903</v>
      </c>
      <c r="Z31" s="131"/>
      <c r="AA31" s="132">
        <f>1-AA32+IF($Y32&lt;0,$Y32/4,0)</f>
        <v>0.45386529640142037</v>
      </c>
      <c r="AB31" s="131"/>
      <c r="AC31" s="133">
        <f>1-AC32+IF($Y32&lt;0,$Y32/4,0)</f>
        <v>0.69537260104068599</v>
      </c>
      <c r="AD31" s="134"/>
      <c r="AE31" s="133">
        <f>1-AE32+IF($Y32&lt;0,$Y32/4,0)</f>
        <v>0.69537260104068599</v>
      </c>
      <c r="AF31" s="134"/>
      <c r="AG31" s="133">
        <f>1-AG32+IF($Y32&lt;0,$Y32/4,0)</f>
        <v>0.68727236086989785</v>
      </c>
      <c r="AH31" s="123"/>
      <c r="AI31" s="182">
        <f>SUM(AA31,AC31,AE31,AG31)/4</f>
        <v>0.63297071483817247</v>
      </c>
      <c r="AJ31" s="135">
        <f t="shared" si="14"/>
        <v>0.57461894872105312</v>
      </c>
      <c r="AK31" s="136">
        <f t="shared" si="15"/>
        <v>0.69132248095529192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18">
        <f>SUM(B6:B30)</f>
        <v>1.1497763661922553</v>
      </c>
      <c r="C32" s="77">
        <f>SUM(C6:C31)</f>
        <v>-2.2951256657540383E-2</v>
      </c>
      <c r="D32" s="24">
        <f>SUM(D6:D30)</f>
        <v>1.8720544016910448</v>
      </c>
      <c r="E32" s="2"/>
      <c r="F32" s="2"/>
      <c r="H32" s="17"/>
      <c r="I32" s="22">
        <f>SUM(I6:I30)</f>
        <v>0.36702928516182742</v>
      </c>
      <c r="J32" s="17"/>
      <c r="L32" s="22">
        <f>SUM(L6:L30)</f>
        <v>0.38998054181936781</v>
      </c>
      <c r="M32" s="23"/>
      <c r="N32" s="56"/>
      <c r="O32" s="2"/>
      <c r="P32" s="22"/>
      <c r="Q32" s="232" t="s">
        <v>143</v>
      </c>
      <c r="R32" s="232">
        <f t="shared" si="24"/>
        <v>35776.442853349821</v>
      </c>
      <c r="S32" s="232">
        <f t="shared" si="24"/>
        <v>79443.154051514939</v>
      </c>
      <c r="T32" s="232">
        <f t="shared" si="24"/>
        <v>79443.154051514939</v>
      </c>
      <c r="V32" s="56"/>
      <c r="W32" s="110"/>
      <c r="X32" s="118"/>
      <c r="Y32" s="115">
        <f>SUM(Y6:Y31)</f>
        <v>4</v>
      </c>
      <c r="Z32" s="137"/>
      <c r="AA32" s="138">
        <f>SUM(AA6:AA30)</f>
        <v>0.54613470359857963</v>
      </c>
      <c r="AB32" s="137"/>
      <c r="AC32" s="139">
        <f>SUM(AC6:AC30)</f>
        <v>0.30462739895931401</v>
      </c>
      <c r="AD32" s="137"/>
      <c r="AE32" s="139">
        <f>SUM(AE6:AE30)</f>
        <v>0.30462739895931401</v>
      </c>
      <c r="AF32" s="137"/>
      <c r="AG32" s="139">
        <f>SUM(AG6:AG30)</f>
        <v>0.31272763913010215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-38.900999000188413</v>
      </c>
      <c r="K33" s="14"/>
      <c r="L33" s="11"/>
      <c r="M33" s="30"/>
      <c r="N33" s="168" t="s">
        <v>87</v>
      </c>
      <c r="O33" s="2"/>
      <c r="P33" s="2"/>
      <c r="Q33" s="236"/>
      <c r="R33" s="232"/>
      <c r="S33" s="232"/>
      <c r="T33" s="232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53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30110.125185412588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0"/>
      <c r="S36" s="240"/>
      <c r="T36" s="249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6" t="str">
        <f>IF(Poor!A37=0,"",Poor!A37)</f>
        <v>Cattle sales - local: no. sold</v>
      </c>
      <c r="B37" s="216">
        <f>IF([1]Summ!C1072="",0,[1]Summ!C1072)</f>
        <v>0</v>
      </c>
      <c r="C37" s="216">
        <f>IF([1]Summ!D1072="",0,[1]Summ!D1072)</f>
        <v>0</v>
      </c>
      <c r="D37" s="38">
        <f t="shared" ref="D37:D64" si="25">B37+C37</f>
        <v>0</v>
      </c>
      <c r="E37" s="75">
        <f>Poor!E37</f>
        <v>0.5</v>
      </c>
      <c r="F37" s="75">
        <f>Poor!F37</f>
        <v>1.18</v>
      </c>
      <c r="G37" s="75">
        <f>Poor!G37</f>
        <v>1.65</v>
      </c>
      <c r="H37" s="24">
        <f t="shared" ref="H37" si="26">(E37*F37)</f>
        <v>0.59</v>
      </c>
      <c r="I37" s="39">
        <f t="shared" ref="I37" si="27">D37*H37</f>
        <v>0</v>
      </c>
      <c r="J37" s="38">
        <f>J91*I$83</f>
        <v>0</v>
      </c>
      <c r="K37" s="40">
        <f>(B37/B$65)</f>
        <v>0</v>
      </c>
      <c r="L37" s="22">
        <f t="shared" ref="L37" si="28">(K37*H37)</f>
        <v>0</v>
      </c>
      <c r="M37" s="24">
        <f>J37/B$65</f>
        <v>0</v>
      </c>
      <c r="N37" s="227">
        <v>5</v>
      </c>
      <c r="O37" s="2"/>
      <c r="P37" s="2"/>
      <c r="Q37" s="59" t="s">
        <v>71</v>
      </c>
      <c r="R37" s="220">
        <f>IF($B$81=0,0,(SUMIF($N$6:$N$28,$U7,K$6:K$28)*$B$83+SUMIF($N$37:$N$64,$U7,B$37:B$64))*[2]Poor!$B$81/$B$81)</f>
        <v>984.25445590616596</v>
      </c>
      <c r="S37" s="220">
        <f>IF($B$81=0,0,(SUMIF($N$6:$N$28,$U37,L$6:L$28)+SUMIF($N$91:$N$118,$U37,L$91:L$118))*$I$83*[2]Poor!$B$81/$B$81)</f>
        <v>0</v>
      </c>
      <c r="T37" s="220">
        <f>IF($B$81=0,0,(SUMIF($N$6:$N$28,$U7,M$6:M$28)+SUMIF($N$91:$N$118,$U7,M$91:M$118))*$I$83*[2]Poor!$B$81/$B$81)</f>
        <v>414.0773225620311</v>
      </c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0</v>
      </c>
      <c r="AH37" s="123">
        <f>SUM(Z37,AB37,AD37,AF37)</f>
        <v>1</v>
      </c>
      <c r="AI37" s="112">
        <f>SUM(AA37,AC37,AE37,AG37)</f>
        <v>0</v>
      </c>
      <c r="AJ37" s="148">
        <f>(AA37+AC37)</f>
        <v>0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6" t="str">
        <f>IF(Poor!A38=0,"",Poor!A38)</f>
        <v>Goat sales - local: no. sold</v>
      </c>
      <c r="B38" s="216">
        <f>IF([1]Summ!C1073="",0,[1]Summ!C1073)</f>
        <v>1125</v>
      </c>
      <c r="C38" s="216">
        <f>IF([1]Summ!D1073="",0,[1]Summ!D1073)</f>
        <v>0</v>
      </c>
      <c r="D38" s="38">
        <f t="shared" si="25"/>
        <v>1125</v>
      </c>
      <c r="E38" s="75">
        <f>Poor!E38</f>
        <v>0.5</v>
      </c>
      <c r="F38" s="75">
        <f>Poor!F38</f>
        <v>1.18</v>
      </c>
      <c r="G38" s="75">
        <f>Poor!G38</f>
        <v>1.65</v>
      </c>
      <c r="H38" s="24">
        <f t="shared" ref="H38:H64" si="30">(E38*F38)</f>
        <v>0.59</v>
      </c>
      <c r="I38" s="39">
        <f t="shared" ref="I38:I64" si="31">D38*H38</f>
        <v>663.75</v>
      </c>
      <c r="J38" s="38">
        <f t="shared" ref="J38:J64" si="32">J92*I$83</f>
        <v>663.75</v>
      </c>
      <c r="K38" s="40">
        <f t="shared" ref="K38:K64" si="33">(B38/B$65)</f>
        <v>4.040222661159993E-2</v>
      </c>
      <c r="L38" s="22">
        <f t="shared" ref="L38:L64" si="34">(K38*H38)</f>
        <v>2.3837313700843958E-2</v>
      </c>
      <c r="M38" s="24">
        <f t="shared" ref="M38:M64" si="35">J38/B$65</f>
        <v>2.3837313700843958E-2</v>
      </c>
      <c r="N38" s="227">
        <v>5</v>
      </c>
      <c r="O38" s="2"/>
      <c r="P38" s="2"/>
      <c r="Q38" s="59" t="s">
        <v>72</v>
      </c>
      <c r="R38" s="220">
        <f>IF($B$81=0,0,(SUMIF($N$6:$N$28,$U8,K$6:K$28)*$B$83+SUMIF($N$37:$N$64,$U8,B$37:B$64))*[2]Poor!$B$81/$B$81)</f>
        <v>0</v>
      </c>
      <c r="S38" s="220">
        <f>IF($B$81=0,0,(SUMIF($N$6:$N$28,$U38,L$6:L$28)+SUMIF($N$91:$N$118,$U38,L$91:L$118))*$I$83*[2]Poor!$B$81/$B$81)</f>
        <v>0</v>
      </c>
      <c r="T38" s="220">
        <f>IF($B$81=0,0,(SUMIF($N$6:$N$28,$U8,M$6:M$28)+SUMIF($N$91:$N$118,$U8,M$91:M$118))*$I$83*[2]Poor!$B$81/$B$81)</f>
        <v>0</v>
      </c>
      <c r="U38" s="56"/>
      <c r="V38" s="56"/>
      <c r="W38" s="115"/>
      <c r="X38" s="118"/>
      <c r="Y38" s="110"/>
      <c r="Z38" s="122">
        <f>IF($J38=0,0,AA38/($J38))</f>
        <v>1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663.75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0</v>
      </c>
      <c r="AG38" s="147">
        <f t="shared" ref="AG38:AG64" si="36">$J38*AF38</f>
        <v>0</v>
      </c>
      <c r="AH38" s="123">
        <f t="shared" ref="AH38:AI58" si="37">SUM(Z38,AB38,AD38,AF38)</f>
        <v>1</v>
      </c>
      <c r="AI38" s="112">
        <f t="shared" si="37"/>
        <v>663.75</v>
      </c>
      <c r="AJ38" s="148">
        <f t="shared" ref="AJ38:AJ64" si="38">(AA38+AC38)</f>
        <v>663.75</v>
      </c>
      <c r="AK38" s="147">
        <f t="shared" ref="AK38:AK64" si="39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6" t="str">
        <f>IF(Poor!A39=0,"",Poor!A39)</f>
        <v>Sheep sales - local: no. sold</v>
      </c>
      <c r="B39" s="216">
        <f>IF([1]Summ!C1074="",0,[1]Summ!C1074)</f>
        <v>0</v>
      </c>
      <c r="C39" s="216">
        <f>IF([1]Summ!D1074="",0,[1]Summ!D1074)</f>
        <v>0</v>
      </c>
      <c r="D39" s="38">
        <f t="shared" si="25"/>
        <v>0</v>
      </c>
      <c r="E39" s="75">
        <f>Poor!E39</f>
        <v>0.5</v>
      </c>
      <c r="F39" s="75">
        <f>Poor!F39</f>
        <v>1.18</v>
      </c>
      <c r="G39" s="75">
        <f>Poor!G39</f>
        <v>1.65</v>
      </c>
      <c r="H39" s="24">
        <f t="shared" si="30"/>
        <v>0.59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27">
        <v>5</v>
      </c>
      <c r="O39" s="2"/>
      <c r="P39" s="2"/>
      <c r="Q39" s="59" t="s">
        <v>73</v>
      </c>
      <c r="R39" s="220">
        <f>IF($B$81=0,0,(SUMIF($N$6:$N$28,$U9,K$6:K$28)*$B$83+SUMIF($N$37:$N$64,$U9,B$37:B$64))*[2]Poor!$B$81/$B$81)</f>
        <v>119.18500810595445</v>
      </c>
      <c r="S39" s="220">
        <f>IF($B$81=0,0,(SUMIF($N$6:$N$28,$U39,L$6:L$28)+SUMIF($N$91:$N$118,$U39,L$91:L$118))*$I$83*[2]Poor!$B$81/$B$81)</f>
        <v>0</v>
      </c>
      <c r="T39" s="220">
        <f>IF($B$81=0,0,(SUMIF($N$6:$N$28,$U9,M$6:M$28)+SUMIF($N$91:$N$118,$U9,M$91:M$118))*$I$83*[2]Poor!$B$81/$B$81)</f>
        <v>39.331052674964965</v>
      </c>
      <c r="U39" s="56"/>
      <c r="V39" s="56"/>
      <c r="W39" s="115"/>
      <c r="X39" s="118"/>
      <c r="Y39" s="110"/>
      <c r="Z39" s="122">
        <f>Z8</f>
        <v>1</v>
      </c>
      <c r="AA39" s="147">
        <f t="shared" ref="AA39:AA64" si="40">$J39*Z39</f>
        <v>0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6" t="str">
        <f>IF(Poor!A40=0,"",Poor!A40)</f>
        <v>Chicken sales: no. sold</v>
      </c>
      <c r="B40" s="216">
        <f>IF([1]Summ!C1075="",0,[1]Summ!C1075)</f>
        <v>0</v>
      </c>
      <c r="C40" s="216">
        <f>IF([1]Summ!D1075="",0,[1]Summ!D1075)</f>
        <v>0</v>
      </c>
      <c r="D40" s="38">
        <f t="shared" si="25"/>
        <v>0</v>
      </c>
      <c r="E40" s="75">
        <f>Poor!E40</f>
        <v>1</v>
      </c>
      <c r="F40" s="75">
        <f>Poor!F40</f>
        <v>1.18</v>
      </c>
      <c r="G40" s="75">
        <f>Poor!G40</f>
        <v>1.65</v>
      </c>
      <c r="H40" s="24">
        <f t="shared" si="30"/>
        <v>1.18</v>
      </c>
      <c r="I40" s="39">
        <f t="shared" si="31"/>
        <v>0</v>
      </c>
      <c r="J40" s="38">
        <f t="shared" si="32"/>
        <v>0</v>
      </c>
      <c r="K40" s="40">
        <f t="shared" si="33"/>
        <v>0</v>
      </c>
      <c r="L40" s="22">
        <f t="shared" si="34"/>
        <v>0</v>
      </c>
      <c r="M40" s="24">
        <f t="shared" si="35"/>
        <v>0</v>
      </c>
      <c r="N40" s="227">
        <v>5</v>
      </c>
      <c r="O40" s="2"/>
      <c r="P40" s="2"/>
      <c r="Q40" s="59" t="s">
        <v>74</v>
      </c>
      <c r="R40" s="220">
        <f>IF($B$81=0,0,(SUMIF($N$6:$N$28,$U10,K$6:K$28)*$B$83+SUMIF($N$37:$N$64,$U10,B$37:B$64))*[2]Poor!$B$81/$B$81)</f>
        <v>0</v>
      </c>
      <c r="S40" s="220">
        <f>IF($B$81=0,0,(SUMIF($N$6:$N$28,$U40,L$6:L$28)+SUMIF($N$91:$N$118,$U40,L$91:L$118))*$I$83*[2]Poor!$B$81/$B$81)</f>
        <v>0</v>
      </c>
      <c r="T40" s="220">
        <f>IF($B$81=0,0,(SUMIF($N$6:$N$28,$U10,M$6:M$28)+SUMIF($N$91:$N$118,$U10,M$91:M$118))*$I$83*[2]Poor!$B$81/$B$81)</f>
        <v>0</v>
      </c>
      <c r="U40" s="56"/>
      <c r="V40" s="56"/>
      <c r="W40" s="115"/>
      <c r="X40" s="118">
        <f>X9</f>
        <v>1</v>
      </c>
      <c r="Y40" s="110"/>
      <c r="Z40" s="122">
        <f>Z9</f>
        <v>1</v>
      </c>
      <c r="AA40" s="147">
        <f t="shared" si="40"/>
        <v>0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0</v>
      </c>
      <c r="AJ40" s="148">
        <f t="shared" si="38"/>
        <v>0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6" t="str">
        <f>IF(Poor!A41=0,"",Poor!A41)</f>
        <v>Maize: kg produced</v>
      </c>
      <c r="B41" s="216">
        <f>IF([1]Summ!C1076="",0,[1]Summ!C1076)</f>
        <v>0</v>
      </c>
      <c r="C41" s="216">
        <f>IF([1]Summ!D1076="",0,[1]Summ!D1076)</f>
        <v>0</v>
      </c>
      <c r="D41" s="38">
        <f t="shared" si="25"/>
        <v>0</v>
      </c>
      <c r="E41" s="75">
        <f>Poor!E41</f>
        <v>0.3</v>
      </c>
      <c r="F41" s="75">
        <f>Poor!F41</f>
        <v>1.4</v>
      </c>
      <c r="G41" s="75">
        <f>Poor!G41</f>
        <v>1.65</v>
      </c>
      <c r="H41" s="24">
        <f t="shared" si="30"/>
        <v>0.42</v>
      </c>
      <c r="I41" s="39">
        <f t="shared" si="31"/>
        <v>0</v>
      </c>
      <c r="J41" s="38">
        <f t="shared" si="32"/>
        <v>0</v>
      </c>
      <c r="K41" s="40">
        <f t="shared" si="33"/>
        <v>0</v>
      </c>
      <c r="L41" s="22">
        <f t="shared" si="34"/>
        <v>0</v>
      </c>
      <c r="M41" s="24">
        <f t="shared" si="35"/>
        <v>0</v>
      </c>
      <c r="N41" s="227">
        <v>2</v>
      </c>
      <c r="O41" s="2"/>
      <c r="P41" s="2"/>
      <c r="Q41" s="59" t="s">
        <v>75</v>
      </c>
      <c r="R41" s="220">
        <f>IF($B$81=0,0,(SUMIF($N$6:$N$28,$U11,K$6:K$28)*$B$83+SUMIF($N$37:$N$64,$U11,B$37:B$64))*[2]Poor!$B$81/$B$81)</f>
        <v>1285.7142857142858</v>
      </c>
      <c r="S41" s="220">
        <f>IF($B$81=0,0,(SUMIF($N$6:$N$28,$U41,L$6:L$28)+SUMIF($N$91:$N$118,$U41,L$91:L$118))*$I$83*[2]Poor!$B$81/$B$81)</f>
        <v>0</v>
      </c>
      <c r="T41" s="220">
        <f>IF($B$81=0,0,(SUMIF($N$6:$N$28,$U11,M$6:M$28)+SUMIF($N$91:$N$118,$U11,M$91:M$118))*$I$83*[2]Poor!$B$81/$B$81)</f>
        <v>758.57142857142856</v>
      </c>
      <c r="U41" s="56"/>
      <c r="V41" s="56"/>
      <c r="W41" s="115"/>
      <c r="X41" s="118">
        <f>X11</f>
        <v>1</v>
      </c>
      <c r="Y41" s="110"/>
      <c r="Z41" s="122">
        <f>Z11</f>
        <v>0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1</v>
      </c>
      <c r="AG41" s="147">
        <f t="shared" si="36"/>
        <v>0</v>
      </c>
      <c r="AH41" s="123">
        <f t="shared" si="37"/>
        <v>1</v>
      </c>
      <c r="AI41" s="112">
        <f t="shared" si="37"/>
        <v>0</v>
      </c>
      <c r="AJ41" s="148">
        <f t="shared" si="38"/>
        <v>0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6" t="str">
        <f>IF(Poor!A42=0,"",Poor!A42)</f>
        <v>Beans: kg produced</v>
      </c>
      <c r="B42" s="216">
        <f>IF([1]Summ!C1077="",0,[1]Summ!C1077)</f>
        <v>0</v>
      </c>
      <c r="C42" s="216">
        <f>IF([1]Summ!D1077="",0,[1]Summ!D1077)</f>
        <v>0</v>
      </c>
      <c r="D42" s="38">
        <f t="shared" si="25"/>
        <v>0</v>
      </c>
      <c r="E42" s="75">
        <f>Poor!E42</f>
        <v>0.2</v>
      </c>
      <c r="F42" s="75">
        <f>Poor!F42</f>
        <v>1.4</v>
      </c>
      <c r="G42" s="75">
        <f>Poor!G42</f>
        <v>1.65</v>
      </c>
      <c r="H42" s="24">
        <f t="shared" si="30"/>
        <v>0.27999999999999997</v>
      </c>
      <c r="I42" s="39">
        <f t="shared" si="31"/>
        <v>0</v>
      </c>
      <c r="J42" s="38">
        <f t="shared" si="32"/>
        <v>0</v>
      </c>
      <c r="K42" s="40">
        <f t="shared" si="33"/>
        <v>0</v>
      </c>
      <c r="L42" s="22">
        <f t="shared" si="34"/>
        <v>0</v>
      </c>
      <c r="M42" s="24">
        <f t="shared" si="35"/>
        <v>0</v>
      </c>
      <c r="N42" s="227">
        <v>2</v>
      </c>
      <c r="O42" s="2"/>
      <c r="P42" s="176"/>
      <c r="Q42" s="126" t="s">
        <v>124</v>
      </c>
      <c r="R42" s="220">
        <f>IF($B$81=0,0,(SUMIF($N$6:$N$28,$U12,K$6:K$28)*$B$83+SUMIF($N$37:$N$64,$U12,B$37:B$64))*[2]Poor!$B$81/$B$81)</f>
        <v>0</v>
      </c>
      <c r="S42" s="220">
        <f>IF($B$81=0,0,(SUMIF($N$6:$N$28,$U42,L$6:L$28)+SUMIF($N$91:$N$118,$U42,L$91:L$118))*$I$83*[2]Poor!$B$81/$B$81)</f>
        <v>0</v>
      </c>
      <c r="T42" s="220">
        <f>IF($B$81=0,0,(SUMIF($N$6:$N$28,$U12,M$6:M$28)+SUMIF($N$91:$N$118,$U12,M$91:M$118))*$I$83*[2]Poor!$B$81/$B$81)</f>
        <v>0</v>
      </c>
      <c r="U42" s="56"/>
      <c r="V42" s="56"/>
      <c r="W42" s="115"/>
      <c r="X42" s="118">
        <v>1</v>
      </c>
      <c r="Y42" s="110"/>
      <c r="Z42" s="156">
        <f>Poor!Z42</f>
        <v>0.25</v>
      </c>
      <c r="AA42" s="147">
        <f t="shared" si="40"/>
        <v>0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6" t="str">
        <f>IF(Poor!A43=0,"",Poor!A43)</f>
        <v>potatoes: kg produced</v>
      </c>
      <c r="B43" s="216">
        <f>IF([1]Summ!C1078="",0,[1]Summ!C1078)</f>
        <v>0</v>
      </c>
      <c r="C43" s="216">
        <f>IF([1]Summ!D1078="",0,[1]Summ!D1078)</f>
        <v>0</v>
      </c>
      <c r="D43" s="38">
        <f t="shared" si="25"/>
        <v>0</v>
      </c>
      <c r="E43" s="75">
        <f>Poor!E43</f>
        <v>0.2</v>
      </c>
      <c r="F43" s="75">
        <f>Poor!F43</f>
        <v>1.4</v>
      </c>
      <c r="G43" s="75">
        <f>Poor!G43</f>
        <v>1.65</v>
      </c>
      <c r="H43" s="24">
        <f t="shared" si="30"/>
        <v>0.27999999999999997</v>
      </c>
      <c r="I43" s="39">
        <f t="shared" si="31"/>
        <v>0</v>
      </c>
      <c r="J43" s="38">
        <f t="shared" si="32"/>
        <v>0</v>
      </c>
      <c r="K43" s="40">
        <f t="shared" si="33"/>
        <v>0</v>
      </c>
      <c r="L43" s="22">
        <f t="shared" si="34"/>
        <v>0</v>
      </c>
      <c r="M43" s="24">
        <f t="shared" si="35"/>
        <v>0</v>
      </c>
      <c r="N43" s="227">
        <v>2</v>
      </c>
      <c r="O43" s="2"/>
      <c r="P43" s="176"/>
      <c r="Q43" s="59" t="s">
        <v>76</v>
      </c>
      <c r="R43" s="220">
        <f>IF($B$81=0,0,(SUMIF($N$6:$N$28,$U13,K$6:K$28)*$B$83+SUMIF($N$37:$N$64,$U13,B$37:B$64))*[2]Poor!$B$81/$B$81)</f>
        <v>7428.5714285714284</v>
      </c>
      <c r="S43" s="220">
        <f>IF($B$81=0,0,(SUMIF($N$6:$N$28,$U43,L$6:L$28)+SUMIF($N$91:$N$118,$U43,L$91:L$118))*$I$83*[2]Poor!$B$81/$B$81)</f>
        <v>0</v>
      </c>
      <c r="T43" s="220">
        <f>IF($B$81=0,0,(SUMIF($N$6:$N$28,$U13,M$6:M$28)+SUMIF($N$91:$N$118,$U13,M$91:M$118))*$I$83*[2]Poor!$B$81/$B$81)</f>
        <v>4122.8571428571431</v>
      </c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0</v>
      </c>
      <c r="AB43" s="156">
        <f>Poor!AB43</f>
        <v>0.25</v>
      </c>
      <c r="AC43" s="147">
        <f t="shared" si="41"/>
        <v>0</v>
      </c>
      <c r="AD43" s="156">
        <f>Poor!AD43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6" t="str">
        <f>IF(Poor!A44=0,"",Poor!A44)</f>
        <v>Agricultural cash income -- see Data2</v>
      </c>
      <c r="B44" s="216">
        <f>IF([1]Summ!C1079="",0,[1]Summ!C1079)</f>
        <v>760</v>
      </c>
      <c r="C44" s="216">
        <f>IF([1]Summ!D1079="",0,[1]Summ!D1079)</f>
        <v>0</v>
      </c>
      <c r="D44" s="38">
        <f t="shared" si="25"/>
        <v>760</v>
      </c>
      <c r="E44" s="75">
        <f>Poor!E44</f>
        <v>0.5</v>
      </c>
      <c r="F44" s="75">
        <f>Poor!F44</f>
        <v>1.1100000000000001</v>
      </c>
      <c r="G44" s="75">
        <f>Poor!G44</f>
        <v>1.65</v>
      </c>
      <c r="H44" s="24">
        <f t="shared" si="30"/>
        <v>0.55500000000000005</v>
      </c>
      <c r="I44" s="39">
        <f t="shared" si="31"/>
        <v>421.8</v>
      </c>
      <c r="J44" s="38">
        <f t="shared" si="32"/>
        <v>421.80000000000007</v>
      </c>
      <c r="K44" s="40">
        <f t="shared" si="33"/>
        <v>2.7293948644280839E-2</v>
      </c>
      <c r="L44" s="22">
        <f t="shared" si="34"/>
        <v>1.5148141497575866E-2</v>
      </c>
      <c r="M44" s="24">
        <f t="shared" si="35"/>
        <v>1.5148141497575868E-2</v>
      </c>
      <c r="N44" s="227">
        <v>7</v>
      </c>
      <c r="O44" s="2"/>
      <c r="P44" s="2"/>
      <c r="Q44" s="126" t="s">
        <v>77</v>
      </c>
      <c r="R44" s="220">
        <f>IF($B$81=0,0,(SUMIF($N$6:$N$28,$U14,K$6:K$28)*$B$83+SUMIF($N$37:$N$64,$U14,B$37:B$64))*[2]Poor!$B$81/$B$81)</f>
        <v>0</v>
      </c>
      <c r="S44" s="220">
        <f>IF($B$81=0,0,(SUMIF($N$6:$N$28,$U44,L$6:L$28)+SUMIF($N$91:$N$118,$U44,L$91:L$118))*$I$83*[2]Poor!$B$81/$B$81)</f>
        <v>0</v>
      </c>
      <c r="T44" s="220">
        <f>IF($B$81=0,0,(SUMIF($N$6:$N$28,$U14,M$6:M$28)+SUMIF($N$91:$N$118,$U14,M$91:M$118))*$I$83*[2]Poor!$B$81/$B$81)</f>
        <v>0</v>
      </c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105.45000000000002</v>
      </c>
      <c r="AB44" s="156">
        <f>Poor!AB44</f>
        <v>0.25</v>
      </c>
      <c r="AC44" s="147">
        <f t="shared" si="41"/>
        <v>105.45000000000002</v>
      </c>
      <c r="AD44" s="156">
        <f>Poor!AD44</f>
        <v>0.25</v>
      </c>
      <c r="AE44" s="147">
        <f t="shared" si="42"/>
        <v>105.45000000000002</v>
      </c>
      <c r="AF44" s="122">
        <f t="shared" si="29"/>
        <v>0.25</v>
      </c>
      <c r="AG44" s="147">
        <f t="shared" si="36"/>
        <v>105.45000000000002</v>
      </c>
      <c r="AH44" s="123">
        <f t="shared" si="37"/>
        <v>1</v>
      </c>
      <c r="AI44" s="112">
        <f t="shared" si="37"/>
        <v>421.80000000000007</v>
      </c>
      <c r="AJ44" s="148">
        <f t="shared" si="38"/>
        <v>210.90000000000003</v>
      </c>
      <c r="AK44" s="147">
        <f t="shared" si="39"/>
        <v>210.90000000000003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6" t="str">
        <f>IF(Poor!A45=0,"",Poor!A45)</f>
        <v>Construction cash income -- see Data2</v>
      </c>
      <c r="B45" s="216">
        <f>IF([1]Summ!C1080="",0,[1]Summ!C1080)</f>
        <v>940</v>
      </c>
      <c r="C45" s="216">
        <f>IF([1]Summ!D1080="",0,[1]Summ!D1080)</f>
        <v>0</v>
      </c>
      <c r="D45" s="38">
        <f t="shared" si="25"/>
        <v>940</v>
      </c>
      <c r="E45" s="75">
        <f>Poor!E45</f>
        <v>0.5</v>
      </c>
      <c r="F45" s="75">
        <f>Poor!F45</f>
        <v>1.1100000000000001</v>
      </c>
      <c r="G45" s="75">
        <f>Poor!G45</f>
        <v>1.65</v>
      </c>
      <c r="H45" s="24">
        <f t="shared" si="30"/>
        <v>0.55500000000000005</v>
      </c>
      <c r="I45" s="39">
        <f t="shared" si="31"/>
        <v>521.70000000000005</v>
      </c>
      <c r="J45" s="38">
        <f t="shared" si="32"/>
        <v>521.70000000000005</v>
      </c>
      <c r="K45" s="40">
        <f t="shared" si="33"/>
        <v>3.3758304902136826E-2</v>
      </c>
      <c r="L45" s="22">
        <f t="shared" si="34"/>
        <v>1.8735859220685939E-2</v>
      </c>
      <c r="M45" s="24">
        <f t="shared" si="35"/>
        <v>1.8735859220685942E-2</v>
      </c>
      <c r="N45" s="227">
        <v>7</v>
      </c>
      <c r="O45" s="2"/>
      <c r="P45" s="2"/>
      <c r="Q45" s="59" t="s">
        <v>127</v>
      </c>
      <c r="R45" s="220">
        <f>IF($B$81=0,0,(SUMIF($N$6:$N$28,$U15,K$6:K$28)*$B$83+SUMIF($N$37:$N$64,$U15,B$37:B$64))*[2]Poor!$B$81/$B$81)</f>
        <v>0</v>
      </c>
      <c r="S45" s="220">
        <f>IF($B$81=0,0,(SUMIF($N$6:$N$28,$U45,L$6:L$28)+SUMIF($N$91:$N$118,$U45,L$91:L$118))*$I$83*[2]Poor!$B$81/$B$81)</f>
        <v>0</v>
      </c>
      <c r="T45" s="220">
        <f>IF($B$81=0,0,(SUMIF($N$6:$N$28,$U15,M$6:M$28)+SUMIF($N$91:$N$118,$U15,M$91:M$118))*$I$83*[2]Poor!$B$81/$B$81)</f>
        <v>0</v>
      </c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130.42500000000001</v>
      </c>
      <c r="AB45" s="156">
        <f>Poor!AB45</f>
        <v>0.25</v>
      </c>
      <c r="AC45" s="147">
        <f t="shared" si="41"/>
        <v>130.42500000000001</v>
      </c>
      <c r="AD45" s="156">
        <f>Poor!AD45</f>
        <v>0.25</v>
      </c>
      <c r="AE45" s="147">
        <f t="shared" si="42"/>
        <v>130.42500000000001</v>
      </c>
      <c r="AF45" s="122">
        <f t="shared" si="29"/>
        <v>0.25</v>
      </c>
      <c r="AG45" s="147">
        <f t="shared" si="36"/>
        <v>130.42500000000001</v>
      </c>
      <c r="AH45" s="123">
        <f t="shared" si="37"/>
        <v>1</v>
      </c>
      <c r="AI45" s="112">
        <f t="shared" si="37"/>
        <v>521.70000000000005</v>
      </c>
      <c r="AJ45" s="148">
        <f t="shared" si="38"/>
        <v>260.85000000000002</v>
      </c>
      <c r="AK45" s="147">
        <f t="shared" si="39"/>
        <v>260.85000000000002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6" t="str">
        <f>IF(Poor!A46=0,"",Poor!A46)</f>
        <v>Domestic work cash income -- see Data2</v>
      </c>
      <c r="B46" s="216">
        <f>IF([1]Summ!C1081="",0,[1]Summ!C1081)</f>
        <v>4800</v>
      </c>
      <c r="C46" s="216">
        <f>IF([1]Summ!D1081="",0,[1]Summ!D1081)</f>
        <v>0</v>
      </c>
      <c r="D46" s="38">
        <f t="shared" si="25"/>
        <v>4800</v>
      </c>
      <c r="E46" s="75">
        <f>Poor!E46</f>
        <v>0.5</v>
      </c>
      <c r="F46" s="75">
        <f>Poor!F46</f>
        <v>1.1100000000000001</v>
      </c>
      <c r="G46" s="75">
        <f>Poor!G46</f>
        <v>1.65</v>
      </c>
      <c r="H46" s="24">
        <f t="shared" si="30"/>
        <v>0.55500000000000005</v>
      </c>
      <c r="I46" s="39">
        <f t="shared" si="31"/>
        <v>2664.0000000000005</v>
      </c>
      <c r="J46" s="38">
        <f t="shared" si="32"/>
        <v>2664.0000000000005</v>
      </c>
      <c r="K46" s="40">
        <f t="shared" si="33"/>
        <v>0.17238283354282635</v>
      </c>
      <c r="L46" s="22">
        <f t="shared" si="34"/>
        <v>9.5672472616268628E-2</v>
      </c>
      <c r="M46" s="24">
        <f t="shared" si="35"/>
        <v>9.5672472616268642E-2</v>
      </c>
      <c r="N46" s="227">
        <v>7</v>
      </c>
      <c r="O46" s="2"/>
      <c r="P46" s="2"/>
      <c r="Q46" s="126" t="s">
        <v>78</v>
      </c>
      <c r="R46" s="220">
        <f>IF($B$81=0,0,(SUMIF($N$6:$N$28,$U16,K$6:K$28)*$B$83+SUMIF($N$37:$N$64,$U16,B$37:B$64))*[2]Poor!$B$81/$B$81)</f>
        <v>0</v>
      </c>
      <c r="S46" s="220">
        <f>IF($B$81=0,0,(SUMIF($N$6:$N$28,$U46,L$6:L$28)+SUMIF($N$91:$N$118,$U46,L$91:L$118))*$I$83*[2]Poor!$B$81/$B$81)</f>
        <v>0</v>
      </c>
      <c r="T46" s="220">
        <f>IF($B$81=0,0,(SUMIF($N$6:$N$28,$U16,M$6:M$28)+SUMIF($N$91:$N$118,$U16,M$91:M$118))*$I$83*[2]Poor!$B$81/$B$81)</f>
        <v>0</v>
      </c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666.00000000000011</v>
      </c>
      <c r="AB46" s="156">
        <f>Poor!AB46</f>
        <v>0.25</v>
      </c>
      <c r="AC46" s="147">
        <f t="shared" si="41"/>
        <v>666.00000000000011</v>
      </c>
      <c r="AD46" s="156">
        <f>Poor!AD46</f>
        <v>0.25</v>
      </c>
      <c r="AE46" s="147">
        <f t="shared" si="42"/>
        <v>666.00000000000011</v>
      </c>
      <c r="AF46" s="122">
        <f t="shared" si="29"/>
        <v>0.25</v>
      </c>
      <c r="AG46" s="147">
        <f t="shared" si="36"/>
        <v>666.00000000000011</v>
      </c>
      <c r="AH46" s="123">
        <f t="shared" si="37"/>
        <v>1</v>
      </c>
      <c r="AI46" s="112">
        <f t="shared" si="37"/>
        <v>2664.0000000000005</v>
      </c>
      <c r="AJ46" s="148">
        <f t="shared" si="38"/>
        <v>1332.0000000000002</v>
      </c>
      <c r="AK46" s="147">
        <f t="shared" si="39"/>
        <v>1332.0000000000002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6" t="str">
        <f>IF(Poor!A47=0,"",Poor!A47)</f>
        <v>Labour migration(formal employment): no. people per HH</v>
      </c>
      <c r="B47" s="216">
        <f>IF([1]Summ!C1082="",0,[1]Summ!C1082)</f>
        <v>0</v>
      </c>
      <c r="C47" s="216">
        <f>IF([1]Summ!D1082="",0,[1]Summ!D1082)</f>
        <v>0</v>
      </c>
      <c r="D47" s="38">
        <f t="shared" si="25"/>
        <v>0</v>
      </c>
      <c r="E47" s="75">
        <f>Poor!E47</f>
        <v>0.4</v>
      </c>
      <c r="F47" s="75">
        <f>Poor!F47</f>
        <v>1.18</v>
      </c>
      <c r="G47" s="75">
        <f>Poor!G47</f>
        <v>1.65</v>
      </c>
      <c r="H47" s="24">
        <f t="shared" si="30"/>
        <v>0.47199999999999998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27">
        <v>8</v>
      </c>
      <c r="O47" s="2"/>
      <c r="P47" s="2"/>
      <c r="Q47" s="126" t="s">
        <v>125</v>
      </c>
      <c r="R47" s="220">
        <f>IF($B$81=0,0,(SUMIF($N$6:$N$28,$U17,K$6:K$28)*$B$83+SUMIF($N$37:$N$64,$U17,B$37:B$64))*[2]Poor!$B$81/$B$81)</f>
        <v>0</v>
      </c>
      <c r="S47" s="220">
        <f>IF($B$81=0,0,(SUMIF($N$6:$N$28,$U47,L$6:L$28)+SUMIF($N$91:$N$118,$U47,L$91:L$118))*$I$83*[2]Poor!$B$81/$B$81)</f>
        <v>0</v>
      </c>
      <c r="T47" s="220">
        <f>IF($B$81=0,0,(SUMIF($N$6:$N$28,$U17,M$6:M$28)+SUMIF($N$91:$N$118,$U17,M$91:M$118))*$I$83*[2]Poor!$B$81/$B$81)</f>
        <v>0</v>
      </c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6" t="str">
        <f>IF(Poor!A48=0,"",Poor!A48)</f>
        <v>Small business -- see Data2</v>
      </c>
      <c r="B48" s="216">
        <f>IF([1]Summ!C1083="",0,[1]Summ!C1083)</f>
        <v>0</v>
      </c>
      <c r="C48" s="216">
        <f>IF([1]Summ!D1083="",0,[1]Summ!D1083)</f>
        <v>0</v>
      </c>
      <c r="D48" s="38">
        <f t="shared" si="25"/>
        <v>0</v>
      </c>
      <c r="E48" s="75">
        <f>Poor!E48</f>
        <v>0.8</v>
      </c>
      <c r="F48" s="75">
        <f>Poor!F48</f>
        <v>1.18</v>
      </c>
      <c r="G48" s="75">
        <f>Poor!G48</f>
        <v>1.65</v>
      </c>
      <c r="H48" s="24">
        <f t="shared" si="30"/>
        <v>0.94399999999999995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27">
        <v>11</v>
      </c>
      <c r="O48" s="2"/>
      <c r="P48" s="2"/>
      <c r="Q48" s="59" t="s">
        <v>79</v>
      </c>
      <c r="R48" s="220">
        <f>IF($B$81=0,0,(SUMIF($N$6:$N$28,$U18,K$6:K$28)*$B$83+SUMIF($N$37:$N$64,$U18,B$37:B$64))*[2]Poor!$B$81/$B$81)</f>
        <v>1401.3106912413493</v>
      </c>
      <c r="S48" s="220">
        <f>IF($B$81=0,0,(SUMIF($N$6:$N$28,$U48,L$6:L$28)+SUMIF($N$91:$N$118,$U48,L$91:L$118))*$I$83*[2]Poor!$B$81/$B$81)</f>
        <v>0</v>
      </c>
      <c r="T48" s="220">
        <f>IF($B$81=0,0,(SUMIF($N$6:$N$28,$U18,M$6:M$28)+SUMIF($N$91:$N$118,$U18,M$91:M$118))*$I$83*[2]Poor!$B$81/$B$81)</f>
        <v>2312.1626405482261</v>
      </c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0</v>
      </c>
      <c r="AB48" s="156">
        <f>Poor!AB48</f>
        <v>0.25</v>
      </c>
      <c r="AC48" s="147">
        <f t="shared" si="41"/>
        <v>0</v>
      </c>
      <c r="AD48" s="156">
        <f>Poor!AD48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6" t="str">
        <f>IF(Poor!A49=0,"",Poor!A49)</f>
        <v>Social development -- see Data2</v>
      </c>
      <c r="B49" s="216">
        <f>IF([1]Summ!C1084="",0,[1]Summ!C1084)</f>
        <v>20220</v>
      </c>
      <c r="C49" s="216">
        <f>IF([1]Summ!D1084="",0,[1]Summ!D1084)</f>
        <v>0</v>
      </c>
      <c r="D49" s="38">
        <f t="shared" si="25"/>
        <v>20220</v>
      </c>
      <c r="E49" s="75">
        <f>Poor!E49</f>
        <v>0</v>
      </c>
      <c r="F49" s="75">
        <f>Poor!F49</f>
        <v>1.18</v>
      </c>
      <c r="G49" s="75">
        <f>Poor!G49</f>
        <v>1.65</v>
      </c>
      <c r="H49" s="24">
        <f t="shared" si="30"/>
        <v>0</v>
      </c>
      <c r="I49" s="39">
        <f t="shared" si="31"/>
        <v>0</v>
      </c>
      <c r="J49" s="38">
        <f t="shared" si="32"/>
        <v>0</v>
      </c>
      <c r="K49" s="40">
        <f t="shared" si="33"/>
        <v>0.72616268629915603</v>
      </c>
      <c r="L49" s="22">
        <f t="shared" si="34"/>
        <v>0</v>
      </c>
      <c r="M49" s="24">
        <f t="shared" si="35"/>
        <v>0</v>
      </c>
      <c r="N49" s="227">
        <v>14</v>
      </c>
      <c r="O49" s="2"/>
      <c r="P49" s="2"/>
      <c r="Q49" s="59" t="s">
        <v>80</v>
      </c>
      <c r="R49" s="220">
        <f>IF($B$81=0,0,(SUMIF($N$6:$N$28,$U19,K$6:K$28)*$B$83+SUMIF($N$37:$N$64,$U19,B$37:B$64))*[2]Poor!$B$81/$B$81)</f>
        <v>0</v>
      </c>
      <c r="S49" s="220">
        <f>IF($B$81=0,0,(SUMIF($N$6:$N$28,$U49,L$6:L$28)+SUMIF($N$91:$N$118,$U49,L$91:L$118))*$I$83*[2]Poor!$B$81/$B$81)</f>
        <v>0</v>
      </c>
      <c r="T49" s="220">
        <f>IF($B$81=0,0,(SUMIF($N$6:$N$28,$U19,M$6:M$28)+SUMIF($N$91:$N$118,$U19,M$91:M$118))*$I$83*[2]Poor!$B$81/$B$81)</f>
        <v>0</v>
      </c>
      <c r="U49" s="56"/>
      <c r="V49" s="56"/>
      <c r="W49" s="110"/>
      <c r="X49" s="118"/>
      <c r="Y49" s="110"/>
      <c r="Z49" s="156">
        <f>Poor!Z49</f>
        <v>0.25</v>
      </c>
      <c r="AA49" s="147">
        <f t="shared" si="40"/>
        <v>0</v>
      </c>
      <c r="AB49" s="156">
        <f>Poor!AB49</f>
        <v>0.25</v>
      </c>
      <c r="AC49" s="147">
        <f t="shared" si="41"/>
        <v>0</v>
      </c>
      <c r="AD49" s="156">
        <f>Poor!AD49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6" t="str">
        <f>IF(Poor!A50=0,"",Poor!A50)</f>
        <v>Public works -- see Data2</v>
      </c>
      <c r="B50" s="216">
        <f>IF([1]Summ!C1085="",0,[1]Summ!C1085)</f>
        <v>0</v>
      </c>
      <c r="C50" s="216">
        <f>IF([1]Summ!D1085="",0,[1]Summ!D1085)</f>
        <v>0</v>
      </c>
      <c r="D50" s="38">
        <f t="shared" si="25"/>
        <v>0</v>
      </c>
      <c r="E50" s="75">
        <f>Poor!E50</f>
        <v>1</v>
      </c>
      <c r="F50" s="75">
        <f>Poor!F50</f>
        <v>1.18</v>
      </c>
      <c r="G50" s="75">
        <f>Poor!G50</f>
        <v>1.65</v>
      </c>
      <c r="H50" s="24">
        <f t="shared" si="30"/>
        <v>1.18</v>
      </c>
      <c r="I50" s="39">
        <f t="shared" si="31"/>
        <v>0</v>
      </c>
      <c r="J50" s="38">
        <f t="shared" si="32"/>
        <v>0</v>
      </c>
      <c r="K50" s="40">
        <f t="shared" si="33"/>
        <v>0</v>
      </c>
      <c r="L50" s="22">
        <f t="shared" si="34"/>
        <v>0</v>
      </c>
      <c r="M50" s="24">
        <f t="shared" si="35"/>
        <v>0</v>
      </c>
      <c r="N50" s="227">
        <v>9</v>
      </c>
      <c r="O50" s="2"/>
      <c r="P50" s="2"/>
      <c r="Q50" s="59" t="s">
        <v>81</v>
      </c>
      <c r="R50" s="220">
        <f>IF($B$81=0,0,(SUMIF($N$6:$N$28,$U20,K$6:K$28)*$B$83+SUMIF($N$37:$N$64,$U20,B$37:B$64))*[2]Poor!$B$81/$B$81)</f>
        <v>23108.571428571428</v>
      </c>
      <c r="S50" s="220">
        <f>IF($B$81=0,0,(SUMIF($N$6:$N$28,$U50,L$6:L$28)+SUMIF($N$91:$N$118,$U50,L$91:L$118))*$I$83*[2]Poor!$B$81/$B$81)</f>
        <v>0</v>
      </c>
      <c r="T50" s="220">
        <f>IF($B$81=0,0,(SUMIF($N$6:$N$28,$U20,M$6:M$28)+SUMIF($N$91:$N$118,$U20,M$91:M$118))*$I$83*[2]Poor!$B$81/$B$81)</f>
        <v>0</v>
      </c>
      <c r="U50" s="56"/>
      <c r="V50" s="56"/>
      <c r="W50" s="110"/>
      <c r="X50" s="118"/>
      <c r="Y50" s="110"/>
      <c r="Z50" s="156">
        <f>Poor!Z55</f>
        <v>0.25</v>
      </c>
      <c r="AA50" s="147">
        <f t="shared" si="40"/>
        <v>0</v>
      </c>
      <c r="AB50" s="156">
        <f>Poor!AB55</f>
        <v>0.25</v>
      </c>
      <c r="AC50" s="147">
        <f t="shared" si="41"/>
        <v>0</v>
      </c>
      <c r="AD50" s="156">
        <f>Poor!AD55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6" t="str">
        <f>IF(Poor!A51=0,"",Poor!A51)</f>
        <v>Gifts/social support: type (Child support, Pension and Foster Care)</v>
      </c>
      <c r="B51" s="216">
        <f>IF([1]Summ!C1086="",0,[1]Summ!C1086)</f>
        <v>0</v>
      </c>
      <c r="C51" s="216">
        <f>IF([1]Summ!D1086="",0,[1]Summ!D1086)</f>
        <v>0</v>
      </c>
      <c r="D51" s="38">
        <f t="shared" si="25"/>
        <v>0</v>
      </c>
      <c r="E51" s="75">
        <f>Poor!E51</f>
        <v>1</v>
      </c>
      <c r="F51" s="75">
        <f>Poor!F51</f>
        <v>1</v>
      </c>
      <c r="G51" s="75">
        <f>Poor!G51</f>
        <v>1.65</v>
      </c>
      <c r="H51" s="24">
        <f t="shared" si="30"/>
        <v>1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27">
        <v>15</v>
      </c>
      <c r="O51" s="2"/>
      <c r="P51" s="2"/>
      <c r="Q51" s="59" t="s">
        <v>82</v>
      </c>
      <c r="R51" s="220">
        <f>IF($B$81=0,0,(SUMIF($N$6:$N$28,$U21,K$6:K$28)*$B$83+SUMIF($N$37:$N$64,$U21,B$37:B$64))*[2]Poor!$B$81/$B$81)</f>
        <v>0</v>
      </c>
      <c r="S51" s="220">
        <f>IF($B$81=0,0,(SUMIF($N$6:$N$28,$U51,L$6:L$28)+SUMIF($N$91:$N$118,$U51,L$91:L$118))*$I$83*[2]Poor!$B$81/$B$81)</f>
        <v>0</v>
      </c>
      <c r="T51" s="220">
        <f>IF($B$81=0,0,(SUMIF($N$6:$N$28,$U21,M$6:M$28)+SUMIF($N$91:$N$118,$U21,M$91:M$118))*$I$83*[2]Poor!$B$81/$B$81)</f>
        <v>0</v>
      </c>
      <c r="U51" s="56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6" t="str">
        <f>IF(Poor!A52=0,"",Poor!A52)</f>
        <v>Remittances: no. times per year</v>
      </c>
      <c r="B52" s="216">
        <f>IF([1]Summ!C1087="",0,[1]Summ!C1087)</f>
        <v>0</v>
      </c>
      <c r="C52" s="216">
        <f>IF([1]Summ!D1087="",0,[1]Summ!D1087)</f>
        <v>0</v>
      </c>
      <c r="D52" s="38">
        <f t="shared" si="25"/>
        <v>0</v>
      </c>
      <c r="E52" s="75">
        <f>Poor!E52</f>
        <v>1</v>
      </c>
      <c r="F52" s="75">
        <f>Poor!F52</f>
        <v>1.1100000000000001</v>
      </c>
      <c r="G52" s="75">
        <f>Poor!G52</f>
        <v>1.65</v>
      </c>
      <c r="H52" s="24">
        <f t="shared" si="30"/>
        <v>1.1100000000000001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27">
        <v>15</v>
      </c>
      <c r="O52" s="2"/>
      <c r="P52" s="2"/>
      <c r="Q52" s="59" t="s">
        <v>83</v>
      </c>
      <c r="R52" s="220">
        <f>IF($B$81=0,0,(SUMIF($N$6:$N$28,$U22,K$6:K$28)*$B$83+SUMIF($N$37:$N$64,$U22,B$37:B$64))*[2]Poor!$B$81/$B$81)</f>
        <v>0</v>
      </c>
      <c r="S52" s="220">
        <f>IF($B$81=0,0,(SUMIF($N$6:$N$28,$U52,L$6:L$28)+SUMIF($N$91:$N$118,$U52,L$91:L$118))*$I$83*[2]Poor!$B$81/$B$81)</f>
        <v>0</v>
      </c>
      <c r="T52" s="220">
        <f>IF($B$81=0,0,(SUMIF($N$6:$N$28,$U22,M$6:M$28)+SUMIF($N$91:$N$118,$U22,M$91:M$118))*$I$83*[2]Poor!$B$81/$B$81)</f>
        <v>0</v>
      </c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0</v>
      </c>
      <c r="AB52" s="156">
        <f>Poor!AB57</f>
        <v>0.25</v>
      </c>
      <c r="AC52" s="147">
        <f t="shared" si="41"/>
        <v>0</v>
      </c>
      <c r="AD52" s="156">
        <f>Poor!AD57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 thickBot="1">
      <c r="A53" s="86" t="str">
        <f>IF(Poor!A53=0,"",Poor!A53)</f>
        <v/>
      </c>
      <c r="B53" s="216">
        <f>IF([1]Summ!C1088="",0,[1]Summ!C1088)</f>
        <v>0</v>
      </c>
      <c r="C53" s="216">
        <f>IF([1]Summ!D1088="",0,[1]Summ!D1088)</f>
        <v>0</v>
      </c>
      <c r="D53" s="38">
        <f t="shared" si="25"/>
        <v>0</v>
      </c>
      <c r="E53" s="75">
        <f>Poor!E53</f>
        <v>1</v>
      </c>
      <c r="F53" s="75">
        <f>Poor!F53</f>
        <v>1</v>
      </c>
      <c r="G53" s="75">
        <f>Poor!G53</f>
        <v>1.65</v>
      </c>
      <c r="H53" s="24">
        <f t="shared" si="30"/>
        <v>1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171" t="s">
        <v>100</v>
      </c>
      <c r="R53" s="179">
        <f>SUM(R37:R52)</f>
        <v>34327.607298110612</v>
      </c>
      <c r="S53" s="179">
        <f>SUM(S37:S52)</f>
        <v>0</v>
      </c>
      <c r="T53" s="179">
        <f>SUM(T37:T52)</f>
        <v>7646.9995872137933</v>
      </c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 thickTop="1">
      <c r="A54" s="86" t="str">
        <f>IF(Poor!A54=0,"",Poor!A54)</f>
        <v/>
      </c>
      <c r="B54" s="216">
        <f>IF([1]Summ!C1089="",0,[1]Summ!C1089)</f>
        <v>0</v>
      </c>
      <c r="C54" s="216">
        <f>IF([1]Summ!D1089="",0,[1]Summ!D1089)</f>
        <v>0</v>
      </c>
      <c r="D54" s="38">
        <f t="shared" si="25"/>
        <v>0</v>
      </c>
      <c r="E54" s="75">
        <f>Poor!E54</f>
        <v>1</v>
      </c>
      <c r="F54" s="75">
        <f>Poor!F54</f>
        <v>1</v>
      </c>
      <c r="G54" s="75">
        <f>Poor!G54</f>
        <v>1.65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59" t="s">
        <v>137</v>
      </c>
      <c r="R54" s="41">
        <f>IF($B$81=0,0,(SUM(($B$70))+((1-$D$29)*$B$83))*[2]Poor!$B$81/$B$81)</f>
        <v>24062.646384067204</v>
      </c>
      <c r="S54" s="41">
        <f>IF($B$81=0,0,(SUM(($B$70*$H$70))+((1-$D$29)*$I$83))*[2]Poor!$B$81/$B$81)</f>
        <v>35969.406972062061</v>
      </c>
      <c r="T54" s="41">
        <f>IF($B$81=0,0,(SUM(($B$70*$H$70))+((1-$D$29)*$I$83))*[2]Poor!$B$81/$B$81)</f>
        <v>35969.406972062061</v>
      </c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6" t="str">
        <f>IF(Poor!A55=0,"",Poor!A55)</f>
        <v/>
      </c>
      <c r="B55" s="216">
        <f>IF([1]Summ!C1090="",0,[1]Summ!C1090)</f>
        <v>0</v>
      </c>
      <c r="C55" s="216">
        <f>IF([1]Summ!D1090="",0,[1]Summ!D1090)</f>
        <v>0</v>
      </c>
      <c r="D55" s="38">
        <f t="shared" si="25"/>
        <v>0</v>
      </c>
      <c r="E55" s="75">
        <f>Poor!E55</f>
        <v>1</v>
      </c>
      <c r="F55" s="75">
        <f>Poor!F55</f>
        <v>1</v>
      </c>
      <c r="G55" s="75">
        <f>Poor!G55</f>
        <v>1.65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142" t="s">
        <v>138</v>
      </c>
      <c r="R55" s="41">
        <f>IF($B$81=0,0,(SUM(($B$70),($B$71*$H$71))+((1-$D$29)*$B$83))*[2]Poor!$B$81/$B$81)</f>
        <v>42445.473050733868</v>
      </c>
      <c r="S55" s="41">
        <f>IF($B$81=0,0,(SUM(($B$70*$H$70),($B$71*$H$71))+((1-$D$29)*$I$83))*[2]Poor!$B$81/$B$81)</f>
        <v>54352.233638728721</v>
      </c>
      <c r="T55" s="41">
        <f>IF($B$81=0,0,(SUM(($B$70*$H$70),($B$71*$H$71))+((1-$D$29)*$I$83))*[2]Poor!$B$81/$B$81)</f>
        <v>54352.233638728721</v>
      </c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6" t="str">
        <f>IF(Poor!A56=0,"",Poor!A56)</f>
        <v/>
      </c>
      <c r="B56" s="216">
        <f>IF([1]Summ!C1091="",0,[1]Summ!C1091)</f>
        <v>0</v>
      </c>
      <c r="C56" s="216">
        <f>IF([1]Summ!D1091="",0,[1]Summ!D1091)</f>
        <v>0</v>
      </c>
      <c r="D56" s="38">
        <f t="shared" si="25"/>
        <v>0</v>
      </c>
      <c r="E56" s="75">
        <f>Poor!E56</f>
        <v>1</v>
      </c>
      <c r="F56" s="75">
        <f>Poor!F56</f>
        <v>1</v>
      </c>
      <c r="G56" s="75">
        <f>Poor!G56</f>
        <v>1.65</v>
      </c>
      <c r="H56" s="24">
        <f t="shared" si="30"/>
        <v>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59" t="s">
        <v>139</v>
      </c>
      <c r="R56" s="41">
        <f>IF($B$81=0,0,(SUM(($B$70),($B$71*$H$71),($B$72*$H$72))+((1-$D$29)*$B$83))*[2]Poor!$B$81/$B$81)</f>
        <v>75183.393050733866</v>
      </c>
      <c r="S56" s="41">
        <f>IF($B$81=0,0,(SUM(($B$70*$H$70),($B$71*$H$71),($B$72*$H$72))+((1-$D$29)*$I$83))*[2]Poor!$B$81/$B$81)</f>
        <v>87090.153638728734</v>
      </c>
      <c r="T56" s="41">
        <f>IF($B$81=0,0,(SUM(($B$70*$H$70),($B$71*$H$71),($B$72*$H$72))+((1-$D$29)*$I$83))*[2]Poor!$B$81/$B$81)</f>
        <v>87090.153638728734</v>
      </c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6" t="str">
        <f>IF(Poor!A57=0,"",Poor!A57)</f>
        <v/>
      </c>
      <c r="B57" s="216">
        <f>IF([1]Summ!C1092="",0,[1]Summ!C1092)</f>
        <v>0</v>
      </c>
      <c r="C57" s="216">
        <f>IF([1]Summ!D1092="",0,[1]Summ!D1092)</f>
        <v>0</v>
      </c>
      <c r="D57" s="38">
        <f t="shared" si="25"/>
        <v>0</v>
      </c>
      <c r="E57" s="75">
        <f>Poor!E57</f>
        <v>1</v>
      </c>
      <c r="F57" s="75">
        <f>Poor!F57</f>
        <v>1</v>
      </c>
      <c r="G57" s="75">
        <f>Poor!G57</f>
        <v>1.65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6" t="str">
        <f>IF(Poor!A58=0,"",Poor!A58)</f>
        <v/>
      </c>
      <c r="B58" s="216">
        <f>IF([1]Summ!C1093="",0,[1]Summ!C1093)</f>
        <v>0</v>
      </c>
      <c r="C58" s="216">
        <f>IF([1]Summ!D1093="",0,[1]Summ!D1093)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6" t="str">
        <f>IF(Poor!A59=0,"",Poor!A59)</f>
        <v/>
      </c>
      <c r="B59" s="216">
        <f>IF([1]Summ!C1094="",0,[1]Summ!C1094)</f>
        <v>0</v>
      </c>
      <c r="C59" s="216">
        <f>IF([1]Summ!D1094="",0,[1]Summ!D1094)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6" t="str">
        <f>IF(Poor!A60=0,"",Poor!A60)</f>
        <v/>
      </c>
      <c r="B60" s="216">
        <f>IF([1]Summ!C1095="",0,[1]Summ!C1095)</f>
        <v>0</v>
      </c>
      <c r="C60" s="216">
        <f>IF([1]Summ!D1095="",0,[1]Summ!D1095)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6" t="str">
        <f>IF(Poor!A61=0,"",Poor!A61)</f>
        <v/>
      </c>
      <c r="B61" s="216">
        <f>IF([1]Summ!C1096="",0,[1]Summ!C1096)</f>
        <v>0</v>
      </c>
      <c r="C61" s="216">
        <f>IF([1]Summ!D1096="",0,[1]Summ!D1096)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176"/>
      <c r="S61" s="68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6" t="str">
        <f>IF(Poor!A62=0,"",Poor!A62)</f>
        <v/>
      </c>
      <c r="B62" s="216">
        <f>IF([1]Summ!C1097="",0,[1]Summ!C1097)</f>
        <v>0</v>
      </c>
      <c r="C62" s="216">
        <f>IF([1]Summ!D1097="",0,[1]Summ!D1097)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19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6" t="str">
        <f>IF(Poor!A63=0,"",Poor!A63)</f>
        <v/>
      </c>
      <c r="B63" s="216">
        <f>IF([1]Summ!C1098="",0,[1]Summ!C1098)</f>
        <v>0</v>
      </c>
      <c r="C63" s="216">
        <f>IF([1]Summ!D1098="",0,[1]Summ!D1098)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6" t="str">
        <f>IF(Poor!A64=0,"",Poor!A64)</f>
        <v/>
      </c>
      <c r="B64" s="216">
        <f>IF([1]Summ!C1099="",0,[1]Summ!C1099)</f>
        <v>0</v>
      </c>
      <c r="C64" s="216">
        <f>IF([1]Summ!D1099="",0,[1]Summ!D1099)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27845</v>
      </c>
      <c r="C65" s="39">
        <f>SUM(C37:C64)</f>
        <v>0</v>
      </c>
      <c r="D65" s="42">
        <f>SUM(D37:D64)</f>
        <v>27845</v>
      </c>
      <c r="E65" s="32"/>
      <c r="F65" s="32"/>
      <c r="G65" s="32"/>
      <c r="H65" s="31"/>
      <c r="I65" s="39">
        <f>SUM(I37:I64)</f>
        <v>4271.25</v>
      </c>
      <c r="J65" s="39">
        <f>SUM(J37:J64)</f>
        <v>4271.2500000000009</v>
      </c>
      <c r="K65" s="40">
        <f>SUM(K37:K64)</f>
        <v>1</v>
      </c>
      <c r="L65" s="22">
        <f>SUM(L37:L64)</f>
        <v>0.15339378703537437</v>
      </c>
      <c r="M65" s="24">
        <f>SUM(M37:M64)</f>
        <v>0.1533937870353744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1565.625</v>
      </c>
      <c r="AB65" s="137"/>
      <c r="AC65" s="153">
        <f>SUM(AC37:AC64)</f>
        <v>901.87500000000011</v>
      </c>
      <c r="AD65" s="137"/>
      <c r="AE65" s="153">
        <f>SUM(AE37:AE64)</f>
        <v>901.87500000000011</v>
      </c>
      <c r="AF65" s="137"/>
      <c r="AG65" s="153">
        <f>SUM(AG37:AG64)</f>
        <v>901.87500000000011</v>
      </c>
      <c r="AH65" s="137"/>
      <c r="AI65" s="153">
        <f>SUM(AI37:AI64)</f>
        <v>4271.2500000000009</v>
      </c>
      <c r="AJ65" s="153">
        <f>SUM(AJ37:AJ64)</f>
        <v>2467.5</v>
      </c>
      <c r="AK65" s="153">
        <f>SUM(AK37:AK64)</f>
        <v>1803.7500000000002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54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SUM([1]Summ!C1031)</f>
        <v>13068.858465770903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4271.25</v>
      </c>
      <c r="J70" s="51">
        <f t="shared" ref="J70:J77" si="44">J124*I$83</f>
        <v>4271.25</v>
      </c>
      <c r="K70" s="40">
        <f>B70/B$76</f>
        <v>0.46934309447911304</v>
      </c>
      <c r="L70" s="22">
        <f t="shared" ref="L70:L74" si="45">(L124*G$37*F$9/F$7)/B$130</f>
        <v>0.1533937870353744</v>
      </c>
      <c r="M70" s="24">
        <f>J70/B$76</f>
        <v>0.1533937870353744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1067.8125</v>
      </c>
      <c r="AB70" s="156">
        <f>Poor!AB70</f>
        <v>0.25</v>
      </c>
      <c r="AC70" s="147">
        <f>$J70*AB70</f>
        <v>1067.8125</v>
      </c>
      <c r="AD70" s="156">
        <f>Poor!AD70</f>
        <v>0.25</v>
      </c>
      <c r="AE70" s="147">
        <f>$J70*AD70</f>
        <v>1067.8125</v>
      </c>
      <c r="AF70" s="156">
        <f>Poor!AF70</f>
        <v>0.25</v>
      </c>
      <c r="AG70" s="147">
        <f>$J70*AF70</f>
        <v>1067.8125</v>
      </c>
      <c r="AH70" s="155">
        <f>SUM(Z70,AB70,AD70,AF70)</f>
        <v>1</v>
      </c>
      <c r="AI70" s="147">
        <f>SUM(AA70,AC70,AE70,AG70)</f>
        <v>4271.25</v>
      </c>
      <c r="AJ70" s="148">
        <f>(AA70+AC70)</f>
        <v>2135.625</v>
      </c>
      <c r="AK70" s="147">
        <f>(AE70+AG70)</f>
        <v>2135.625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SUM([1]Summ!C1032)</f>
        <v>13631.333333333334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0</v>
      </c>
      <c r="J71" s="51">
        <f t="shared" si="44"/>
        <v>0</v>
      </c>
      <c r="K71" s="40">
        <f t="shared" ref="K71:K72" si="47">B71/B$76</f>
        <v>0.48954330520141259</v>
      </c>
      <c r="L71" s="22">
        <f t="shared" si="45"/>
        <v>0</v>
      </c>
      <c r="M71" s="24">
        <f t="shared" ref="M71:M72" si="48">J71/B$76</f>
        <v>0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SUM([1]Summ!C1033)</f>
        <v>24276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0</v>
      </c>
      <c r="K72" s="40">
        <f t="shared" si="47"/>
        <v>0.87182618064284434</v>
      </c>
      <c r="L72" s="22">
        <f t="shared" si="45"/>
        <v>0</v>
      </c>
      <c r="M72" s="24">
        <f t="shared" si="48"/>
        <v>0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SUM([1]Summ!C1034)</f>
        <v>4073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0.14627401687915245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432.55259999999993</v>
      </c>
      <c r="AB73" s="156">
        <f>Poor!AB73</f>
        <v>0.09</v>
      </c>
      <c r="AC73" s="147">
        <f>$H$73*$B$73*AB73</f>
        <v>432.55259999999993</v>
      </c>
      <c r="AD73" s="156">
        <f>Poor!AD73</f>
        <v>0.23</v>
      </c>
      <c r="AE73" s="147">
        <f>$H$73*$B$73*AD73</f>
        <v>1105.4122</v>
      </c>
      <c r="AF73" s="156">
        <f>Poor!AF73</f>
        <v>0.59</v>
      </c>
      <c r="AG73" s="147">
        <f>$H$73*$B$73*AF73</f>
        <v>2835.6225999999997</v>
      </c>
      <c r="AH73" s="155">
        <f>SUM(Z73,AB73,AD73,AF73)</f>
        <v>1</v>
      </c>
      <c r="AI73" s="147">
        <f>SUM(AA73,AC73,AE73,AG73)</f>
        <v>4806.1399999999994</v>
      </c>
      <c r="AJ73" s="148">
        <f>(AA73+AC73)</f>
        <v>865.10519999999985</v>
      </c>
      <c r="AK73" s="147">
        <f>(AE73+AG73)</f>
        <v>3941.0347999999994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7100.5528914711722</v>
      </c>
      <c r="C74" s="39"/>
      <c r="D74" s="38"/>
      <c r="E74" s="32"/>
      <c r="F74" s="32"/>
      <c r="G74" s="32"/>
      <c r="H74" s="31"/>
      <c r="I74" s="39">
        <f>I128*I$83</f>
        <v>0</v>
      </c>
      <c r="J74" s="51">
        <f t="shared" si="44"/>
        <v>0</v>
      </c>
      <c r="K74" s="40">
        <f>B74/B$76</f>
        <v>0.2550027973234395</v>
      </c>
      <c r="L74" s="22">
        <f t="shared" si="45"/>
        <v>0</v>
      </c>
      <c r="M74" s="24">
        <f>J74/B$76</f>
        <v>0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497.8125</v>
      </c>
      <c r="AB74" s="156"/>
      <c r="AC74" s="147">
        <f>AC30*$I$83/4</f>
        <v>-165.93749999999989</v>
      </c>
      <c r="AD74" s="156"/>
      <c r="AE74" s="147">
        <f>AE30*$I$83/4</f>
        <v>-165.93749999999989</v>
      </c>
      <c r="AF74" s="156"/>
      <c r="AG74" s="147">
        <f>AG30*$I$83/4</f>
        <v>-165.93749999999989</v>
      </c>
      <c r="AH74" s="155"/>
      <c r="AI74" s="147">
        <f>SUM(AA74,AC74,AE74,AG74)</f>
        <v>3.4106051316484809E-13</v>
      </c>
      <c r="AJ74" s="148">
        <f>(AA74+AC74)</f>
        <v>331.87500000000011</v>
      </c>
      <c r="AK74" s="147">
        <f>(AE74+AG74)</f>
        <v>-331.87499999999977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>(L129*G$37*F$9/F$7)/B$130</f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0</v>
      </c>
      <c r="AB75" s="158"/>
      <c r="AC75" s="149">
        <f>AA75+AC65-SUM(AC70,AC74)</f>
        <v>0</v>
      </c>
      <c r="AD75" s="158"/>
      <c r="AE75" s="149">
        <f>AC75+AE65-SUM(AE70,AE74)</f>
        <v>0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0</v>
      </c>
      <c r="AJ75" s="151">
        <f>AJ76-SUM(AJ70,AJ74)</f>
        <v>0</v>
      </c>
      <c r="AK75" s="149">
        <f>AJ75+AK76-SUM(AK70,AK74)</f>
        <v>0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27845</v>
      </c>
      <c r="C76" s="39"/>
      <c r="D76" s="38"/>
      <c r="E76" s="32"/>
      <c r="F76" s="32"/>
      <c r="G76" s="32"/>
      <c r="H76" s="31"/>
      <c r="I76" s="39">
        <f>I130*I$83</f>
        <v>4271.25</v>
      </c>
      <c r="J76" s="51">
        <f t="shared" si="44"/>
        <v>4271.25</v>
      </c>
      <c r="K76" s="40">
        <f>SUM(K70:K75)</f>
        <v>2.2319893945259621</v>
      </c>
      <c r="L76" s="22">
        <f>SUM(L70:L75)</f>
        <v>0.1533937870353744</v>
      </c>
      <c r="M76" s="24">
        <f>SUM(M70:M75)</f>
        <v>0.1533937870353744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1565.625</v>
      </c>
      <c r="AB76" s="137"/>
      <c r="AC76" s="153">
        <f>AC65</f>
        <v>901.87500000000011</v>
      </c>
      <c r="AD76" s="137"/>
      <c r="AE76" s="153">
        <f>AE65</f>
        <v>901.87500000000011</v>
      </c>
      <c r="AF76" s="137"/>
      <c r="AG76" s="153">
        <f>AG65</f>
        <v>901.87500000000011</v>
      </c>
      <c r="AH76" s="137"/>
      <c r="AI76" s="153">
        <f>SUM(AA76,AC76,AE76,AG76)</f>
        <v>4271.25</v>
      </c>
      <c r="AJ76" s="154">
        <f>SUM(AA76,AC76)</f>
        <v>2467.5</v>
      </c>
      <c r="AK76" s="154">
        <f>SUM(AE76,AG76)</f>
        <v>1803.7500000000002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30110.125185412591</v>
      </c>
      <c r="J77" s="100">
        <f t="shared" si="44"/>
        <v>30110.125185412591</v>
      </c>
      <c r="K77" s="40"/>
      <c r="L77" s="22">
        <f>-(L131*G$37*F$9/F$7)/B$130</f>
        <v>-1.0813476453730504</v>
      </c>
      <c r="M77" s="24">
        <f>-J77/B$76</f>
        <v>-1.0813476453730504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1928.2915772570575</v>
      </c>
      <c r="AB77" s="112"/>
      <c r="AC77" s="111">
        <f>AC31*$I$83/4</f>
        <v>2954.3592344988347</v>
      </c>
      <c r="AD77" s="112"/>
      <c r="AE77" s="111">
        <f>AE31*$I$83/4</f>
        <v>2954.3592344988347</v>
      </c>
      <c r="AF77" s="112"/>
      <c r="AG77" s="111">
        <f>AG31*$I$83/4</f>
        <v>2919.9445634082404</v>
      </c>
      <c r="AH77" s="110"/>
      <c r="AI77" s="154">
        <f>SUM(AA77,AC77,AE77,AG77)</f>
        <v>10756.954609662967</v>
      </c>
      <c r="AJ77" s="153">
        <f>SUM(AA77,AC77)</f>
        <v>4882.6508117558924</v>
      </c>
      <c r="AK77" s="160">
        <f>SUM(AE77,AG77)</f>
        <v>5874.303797907075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0</v>
      </c>
      <c r="AD78" s="112"/>
      <c r="AE78" s="112">
        <f>AC75</f>
        <v>0</v>
      </c>
      <c r="AF78" s="112"/>
      <c r="AG78" s="112">
        <f>AE75</f>
        <v>0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28" t="str">
        <f>[1]Summ!C1037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497.8125</v>
      </c>
      <c r="AB79" s="112"/>
      <c r="AC79" s="112">
        <f>AA79-AA74+AC65-AC70</f>
        <v>-165.93749999999989</v>
      </c>
      <c r="AD79" s="112"/>
      <c r="AE79" s="112">
        <f>AC79-AC74+AE65-AE70</f>
        <v>-165.93749999999989</v>
      </c>
      <c r="AF79" s="112"/>
      <c r="AG79" s="112">
        <f>AE79-AE74+AG65-AG70</f>
        <v>-165.93749999999989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[1]Summ!C1038</f>
        <v>0.64638090248077151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8">
        <f>[1]Summ!C1039</f>
        <v>7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[1]Summ!C1040</f>
        <v>6.2365204888569377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10299.633580623919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16994.395408029464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4248.5988520073661</v>
      </c>
      <c r="AB83" s="112"/>
      <c r="AC83" s="165">
        <f>$I$83*AB82/4</f>
        <v>4248.5988520073661</v>
      </c>
      <c r="AD83" s="112"/>
      <c r="AE83" s="165">
        <f>$I$83*AD82/4</f>
        <v>4248.5988520073661</v>
      </c>
      <c r="AF83" s="112"/>
      <c r="AG83" s="165">
        <f>$I$83*AF82/4</f>
        <v>4248.5988520073661</v>
      </c>
      <c r="AH83" s="165">
        <f>SUM(AA83,AC83,AE83,AG83)</f>
        <v>16994.395408029464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2">
        <f>B70+((1-D29)*B83)</f>
        <v>21054.815586058805</v>
      </c>
      <c r="C84" s="46"/>
      <c r="D84" s="233"/>
      <c r="E84" s="64"/>
      <c r="F84" s="64"/>
      <c r="G84" s="64"/>
      <c r="H84" s="234">
        <f>IF(B84=0,0,I84/B84)</f>
        <v>1.4948234037914787</v>
      </c>
      <c r="I84" s="232">
        <f>(B70*H70)+((1-(D29*H29))*I83)</f>
        <v>31473.231100554302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56"/>
      <c r="Z86" s="56"/>
      <c r="AA86" s="41"/>
      <c r="AB86" s="56"/>
      <c r="AC86" s="41"/>
      <c r="AD86" s="56"/>
      <c r="AE86" s="41"/>
      <c r="AF86" s="56"/>
      <c r="AG86" s="41"/>
      <c r="AH86" s="67"/>
      <c r="AI86" s="67"/>
      <c r="AJ86" s="67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[1]Summ!$H$892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59"/>
      <c r="Z87" s="56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Very Poor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 t="shared" ref="A91:A106" si="50">IF(A37="","",A37)</f>
        <v>Cattle sales - local: no. sold</v>
      </c>
      <c r="B91" s="75">
        <f t="shared" ref="B91:C118" si="51">(B37/$B$83)</f>
        <v>0</v>
      </c>
      <c r="C91" s="75">
        <f t="shared" si="51"/>
        <v>0</v>
      </c>
      <c r="D91" s="24">
        <f t="shared" ref="D91:D106" si="52">(B91+C91)</f>
        <v>0</v>
      </c>
      <c r="H91" s="24">
        <f t="shared" ref="H91:H106" si="53">(E37*F37/G37*F$7/F$9)</f>
        <v>0.3575757575757576</v>
      </c>
      <c r="I91" s="22">
        <f t="shared" ref="I91:I106" si="54">(D91*H91)</f>
        <v>0</v>
      </c>
      <c r="J91" s="24">
        <f t="shared" ref="J91:J99" si="55">IF(I$32&lt;=1+I$131,I91,L91+J$33*(I91-L91))</f>
        <v>0</v>
      </c>
      <c r="K91" s="22">
        <f t="shared" ref="K91:K106" si="56">(B91)</f>
        <v>0</v>
      </c>
      <c r="L91" s="22">
        <f t="shared" ref="L91:L106" si="57">(K91*H91)</f>
        <v>0</v>
      </c>
      <c r="M91" s="225">
        <f t="shared" si="49"/>
        <v>0</v>
      </c>
      <c r="N91" s="227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si="50"/>
        <v>Goat sales - local: no. sold</v>
      </c>
      <c r="B92" s="75">
        <f t="shared" si="51"/>
        <v>0.1092271866949126</v>
      </c>
      <c r="C92" s="75">
        <f t="shared" si="51"/>
        <v>0</v>
      </c>
      <c r="D92" s="24">
        <f t="shared" si="52"/>
        <v>0.1092271866949126</v>
      </c>
      <c r="H92" s="24">
        <f t="shared" si="53"/>
        <v>0.3575757575757576</v>
      </c>
      <c r="I92" s="22">
        <f t="shared" si="54"/>
        <v>3.9056994030302085E-2</v>
      </c>
      <c r="J92" s="24">
        <f t="shared" si="55"/>
        <v>3.9056994030302085E-2</v>
      </c>
      <c r="K92" s="22">
        <f t="shared" si="56"/>
        <v>0.1092271866949126</v>
      </c>
      <c r="L92" s="22">
        <f t="shared" si="57"/>
        <v>3.9056994030302085E-2</v>
      </c>
      <c r="M92" s="225">
        <f t="shared" si="49"/>
        <v>3.9056994030302085E-2</v>
      </c>
      <c r="N92" s="227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0"/>
        <v>Sheep sales - local: no. sold</v>
      </c>
      <c r="B93" s="75">
        <f t="shared" si="51"/>
        <v>0</v>
      </c>
      <c r="C93" s="75">
        <f t="shared" si="51"/>
        <v>0</v>
      </c>
      <c r="D93" s="24">
        <f t="shared" si="52"/>
        <v>0</v>
      </c>
      <c r="H93" s="24">
        <f t="shared" si="53"/>
        <v>0.3575757575757576</v>
      </c>
      <c r="I93" s="22">
        <f t="shared" si="54"/>
        <v>0</v>
      </c>
      <c r="J93" s="24">
        <f t="shared" si="55"/>
        <v>0</v>
      </c>
      <c r="K93" s="22">
        <f t="shared" si="56"/>
        <v>0</v>
      </c>
      <c r="L93" s="22">
        <f t="shared" si="57"/>
        <v>0</v>
      </c>
      <c r="M93" s="225">
        <f t="shared" si="49"/>
        <v>0</v>
      </c>
      <c r="N93" s="227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0"/>
        <v>Chicken sales: no. sold</v>
      </c>
      <c r="B94" s="75">
        <f t="shared" si="51"/>
        <v>0</v>
      </c>
      <c r="C94" s="75">
        <f t="shared" si="51"/>
        <v>0</v>
      </c>
      <c r="D94" s="24">
        <f t="shared" si="52"/>
        <v>0</v>
      </c>
      <c r="H94" s="24">
        <f t="shared" si="53"/>
        <v>0.7151515151515152</v>
      </c>
      <c r="I94" s="22">
        <f t="shared" si="54"/>
        <v>0</v>
      </c>
      <c r="J94" s="24">
        <f t="shared" si="55"/>
        <v>0</v>
      </c>
      <c r="K94" s="22">
        <f t="shared" si="56"/>
        <v>0</v>
      </c>
      <c r="L94" s="22">
        <f t="shared" si="57"/>
        <v>0</v>
      </c>
      <c r="M94" s="226">
        <f t="shared" si="49"/>
        <v>0</v>
      </c>
      <c r="N94" s="227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0"/>
        <v>Maize: kg produced</v>
      </c>
      <c r="B95" s="75">
        <f t="shared" si="51"/>
        <v>0</v>
      </c>
      <c r="C95" s="75">
        <f t="shared" si="51"/>
        <v>0</v>
      </c>
      <c r="D95" s="24">
        <f t="shared" si="52"/>
        <v>0</v>
      </c>
      <c r="H95" s="24">
        <f t="shared" si="53"/>
        <v>0.25454545454545457</v>
      </c>
      <c r="I95" s="22">
        <f t="shared" si="54"/>
        <v>0</v>
      </c>
      <c r="J95" s="24">
        <f t="shared" si="55"/>
        <v>0</v>
      </c>
      <c r="K95" s="22">
        <f t="shared" si="56"/>
        <v>0</v>
      </c>
      <c r="L95" s="22">
        <f t="shared" si="57"/>
        <v>0</v>
      </c>
      <c r="M95" s="226">
        <f t="shared" si="49"/>
        <v>0</v>
      </c>
      <c r="N95" s="227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0"/>
        <v>Beans: kg produced</v>
      </c>
      <c r="B96" s="75">
        <f t="shared" si="51"/>
        <v>0</v>
      </c>
      <c r="C96" s="75">
        <f t="shared" si="51"/>
        <v>0</v>
      </c>
      <c r="D96" s="24">
        <f t="shared" si="52"/>
        <v>0</v>
      </c>
      <c r="H96" s="24">
        <f t="shared" si="53"/>
        <v>0.16969696969696968</v>
      </c>
      <c r="I96" s="22">
        <f t="shared" si="54"/>
        <v>0</v>
      </c>
      <c r="J96" s="24">
        <f t="shared" si="55"/>
        <v>0</v>
      </c>
      <c r="K96" s="22">
        <f t="shared" si="56"/>
        <v>0</v>
      </c>
      <c r="L96" s="22">
        <f t="shared" si="57"/>
        <v>0</v>
      </c>
      <c r="M96" s="226">
        <f t="shared" si="49"/>
        <v>0</v>
      </c>
      <c r="N96" s="227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0"/>
        <v>potatoes: kg produced</v>
      </c>
      <c r="B97" s="75">
        <f t="shared" si="51"/>
        <v>0</v>
      </c>
      <c r="C97" s="75">
        <f t="shared" si="51"/>
        <v>0</v>
      </c>
      <c r="D97" s="24">
        <f t="shared" si="52"/>
        <v>0</v>
      </c>
      <c r="H97" s="24">
        <f t="shared" si="53"/>
        <v>0.16969696969696968</v>
      </c>
      <c r="I97" s="22">
        <f t="shared" si="54"/>
        <v>0</v>
      </c>
      <c r="J97" s="24">
        <f t="shared" si="55"/>
        <v>0</v>
      </c>
      <c r="K97" s="22">
        <f t="shared" si="56"/>
        <v>0</v>
      </c>
      <c r="L97" s="22">
        <f t="shared" si="57"/>
        <v>0</v>
      </c>
      <c r="M97" s="226">
        <f t="shared" si="49"/>
        <v>0</v>
      </c>
      <c r="N97" s="227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0"/>
        <v>Agricultural cash income -- see Data2</v>
      </c>
      <c r="B98" s="75">
        <f t="shared" si="51"/>
        <v>7.3789032789452078E-2</v>
      </c>
      <c r="C98" s="75">
        <f t="shared" si="51"/>
        <v>0</v>
      </c>
      <c r="D98" s="24">
        <f t="shared" si="52"/>
        <v>7.3789032789452078E-2</v>
      </c>
      <c r="H98" s="24">
        <f t="shared" si="53"/>
        <v>0.33636363636363642</v>
      </c>
      <c r="I98" s="22">
        <f t="shared" si="54"/>
        <v>2.4819947392815702E-2</v>
      </c>
      <c r="J98" s="24">
        <f t="shared" si="55"/>
        <v>2.4819947392815702E-2</v>
      </c>
      <c r="K98" s="22">
        <f t="shared" si="56"/>
        <v>7.3789032789452078E-2</v>
      </c>
      <c r="L98" s="22">
        <f t="shared" si="57"/>
        <v>2.4819947392815702E-2</v>
      </c>
      <c r="M98" s="226">
        <f t="shared" si="49"/>
        <v>2.4819947392815702E-2</v>
      </c>
      <c r="N98" s="227">
        <v>7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0"/>
        <v>Construction cash income -- see Data2</v>
      </c>
      <c r="B99" s="75">
        <f t="shared" si="51"/>
        <v>9.1265382660638092E-2</v>
      </c>
      <c r="C99" s="75">
        <f t="shared" si="51"/>
        <v>0</v>
      </c>
      <c r="D99" s="24">
        <f t="shared" si="52"/>
        <v>9.1265382660638092E-2</v>
      </c>
      <c r="H99" s="24">
        <f t="shared" si="53"/>
        <v>0.33636363636363642</v>
      </c>
      <c r="I99" s="22">
        <f t="shared" si="54"/>
        <v>3.0698355985850998E-2</v>
      </c>
      <c r="J99" s="24">
        <f t="shared" si="55"/>
        <v>3.0698355985850998E-2</v>
      </c>
      <c r="K99" s="22">
        <f t="shared" si="56"/>
        <v>9.1265382660638092E-2</v>
      </c>
      <c r="L99" s="22">
        <f t="shared" si="57"/>
        <v>3.0698355985850998E-2</v>
      </c>
      <c r="M99" s="226">
        <f t="shared" si="49"/>
        <v>3.0698355985850998E-2</v>
      </c>
      <c r="N99" s="227">
        <v>7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0"/>
        <v>Domestic work cash income -- see Data2</v>
      </c>
      <c r="B100" s="75">
        <f t="shared" si="51"/>
        <v>0.46603599656496048</v>
      </c>
      <c r="C100" s="75">
        <f t="shared" si="51"/>
        <v>0</v>
      </c>
      <c r="D100" s="24">
        <f t="shared" si="52"/>
        <v>0.46603599656496048</v>
      </c>
      <c r="H100" s="24">
        <f t="shared" si="53"/>
        <v>0.33636363636363642</v>
      </c>
      <c r="I100" s="22">
        <f t="shared" si="54"/>
        <v>0.15675756248094128</v>
      </c>
      <c r="J100" s="24">
        <f>IF(I$32&lt;=1+I131,I100,L100+J$33*(I100-L100))</f>
        <v>0.15675756248094128</v>
      </c>
      <c r="K100" s="22">
        <f t="shared" si="56"/>
        <v>0.46603599656496048</v>
      </c>
      <c r="L100" s="22">
        <f t="shared" si="57"/>
        <v>0.15675756248094128</v>
      </c>
      <c r="M100" s="226">
        <f t="shared" si="49"/>
        <v>0.15675756248094128</v>
      </c>
      <c r="N100" s="227">
        <v>7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0"/>
        <v>Labour migration(formal employment): no. people per HH</v>
      </c>
      <c r="B101" s="75">
        <f t="shared" si="51"/>
        <v>0</v>
      </c>
      <c r="C101" s="75">
        <f t="shared" si="51"/>
        <v>0</v>
      </c>
      <c r="D101" s="24">
        <f t="shared" si="52"/>
        <v>0</v>
      </c>
      <c r="H101" s="24">
        <f t="shared" si="53"/>
        <v>0.28606060606060607</v>
      </c>
      <c r="I101" s="22">
        <f t="shared" si="54"/>
        <v>0</v>
      </c>
      <c r="J101" s="24">
        <f>IF(I$32&lt;=1+I131,I101,L101+J$33*(I101-L101))</f>
        <v>0</v>
      </c>
      <c r="K101" s="22">
        <f t="shared" si="56"/>
        <v>0</v>
      </c>
      <c r="L101" s="22">
        <f t="shared" si="57"/>
        <v>0</v>
      </c>
      <c r="M101" s="225">
        <f t="shared" si="49"/>
        <v>0</v>
      </c>
      <c r="N101" s="227">
        <v>8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0"/>
        <v>Small business -- see Data2</v>
      </c>
      <c r="B102" s="75">
        <f t="shared" si="51"/>
        <v>0</v>
      </c>
      <c r="C102" s="75">
        <f t="shared" si="51"/>
        <v>0</v>
      </c>
      <c r="D102" s="24">
        <f t="shared" si="52"/>
        <v>0</v>
      </c>
      <c r="H102" s="24">
        <f t="shared" si="53"/>
        <v>0.57212121212121214</v>
      </c>
      <c r="I102" s="22">
        <f t="shared" si="54"/>
        <v>0</v>
      </c>
      <c r="J102" s="24">
        <f>IF(I$32&lt;=1+I131,I102,L102+J$33*(I102-L102))</f>
        <v>0</v>
      </c>
      <c r="K102" s="22">
        <f t="shared" si="56"/>
        <v>0</v>
      </c>
      <c r="L102" s="22">
        <f t="shared" si="57"/>
        <v>0</v>
      </c>
      <c r="M102" s="226">
        <f t="shared" si="49"/>
        <v>0</v>
      </c>
      <c r="N102" s="227">
        <v>11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0"/>
        <v>Social development -- see Data2</v>
      </c>
      <c r="B103" s="75">
        <f t="shared" si="51"/>
        <v>1.9631766355298961</v>
      </c>
      <c r="C103" s="75">
        <f t="shared" si="51"/>
        <v>0</v>
      </c>
      <c r="D103" s="24">
        <f t="shared" si="52"/>
        <v>1.9631766355298961</v>
      </c>
      <c r="H103" s="24">
        <f t="shared" si="53"/>
        <v>0</v>
      </c>
      <c r="I103" s="22">
        <f t="shared" si="54"/>
        <v>0</v>
      </c>
      <c r="J103" s="24">
        <f>IF(I$32&lt;=1+I131,I103,L103+J$33*(I103-L103))</f>
        <v>0</v>
      </c>
      <c r="K103" s="22">
        <f t="shared" si="56"/>
        <v>1.9631766355298961</v>
      </c>
      <c r="L103" s="22">
        <f t="shared" si="57"/>
        <v>0</v>
      </c>
      <c r="M103" s="226">
        <f t="shared" si="49"/>
        <v>0</v>
      </c>
      <c r="N103" s="227">
        <v>14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0"/>
        <v>Public works -- see Data2</v>
      </c>
      <c r="B104" s="75">
        <f t="shared" si="51"/>
        <v>0</v>
      </c>
      <c r="C104" s="75">
        <f t="shared" si="51"/>
        <v>0</v>
      </c>
      <c r="D104" s="24">
        <f t="shared" si="52"/>
        <v>0</v>
      </c>
      <c r="H104" s="24">
        <f t="shared" si="53"/>
        <v>0.7151515151515152</v>
      </c>
      <c r="I104" s="22">
        <f t="shared" si="54"/>
        <v>0</v>
      </c>
      <c r="J104" s="24">
        <f>IF(I$32&lt;=1+I131,I104,L104+J$33*(I104-L104))</f>
        <v>0</v>
      </c>
      <c r="K104" s="22">
        <f t="shared" si="56"/>
        <v>0</v>
      </c>
      <c r="L104" s="22">
        <f t="shared" si="57"/>
        <v>0</v>
      </c>
      <c r="M104" s="226">
        <f t="shared" si="49"/>
        <v>0</v>
      </c>
      <c r="N104" s="227">
        <v>9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0"/>
        <v>Gifts/social support: type (Child support, Pension and Foster Care)</v>
      </c>
      <c r="B105" s="75">
        <f t="shared" si="51"/>
        <v>0</v>
      </c>
      <c r="C105" s="75">
        <f t="shared" si="51"/>
        <v>0</v>
      </c>
      <c r="D105" s="24">
        <f t="shared" si="52"/>
        <v>0</v>
      </c>
      <c r="H105" s="24">
        <f t="shared" si="53"/>
        <v>0.60606060606060608</v>
      </c>
      <c r="I105" s="22">
        <f t="shared" si="54"/>
        <v>0</v>
      </c>
      <c r="J105" s="24">
        <f>IF(I$32&lt;=1+I131,I105,L105+J$33*(I105-L105))</f>
        <v>0</v>
      </c>
      <c r="K105" s="22">
        <f t="shared" si="56"/>
        <v>0</v>
      </c>
      <c r="L105" s="22">
        <f t="shared" si="57"/>
        <v>0</v>
      </c>
      <c r="M105" s="226">
        <f t="shared" si="49"/>
        <v>0</v>
      </c>
      <c r="N105" s="227">
        <v>15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0"/>
        <v>Remittances: no. times per year</v>
      </c>
      <c r="B106" s="75">
        <f t="shared" si="51"/>
        <v>0</v>
      </c>
      <c r="C106" s="75">
        <f t="shared" si="51"/>
        <v>0</v>
      </c>
      <c r="D106" s="24">
        <f t="shared" si="52"/>
        <v>0</v>
      </c>
      <c r="H106" s="24">
        <f t="shared" si="53"/>
        <v>0.67272727272727284</v>
      </c>
      <c r="I106" s="22">
        <f t="shared" si="54"/>
        <v>0</v>
      </c>
      <c r="J106" s="24">
        <f>IF(I$32&lt;=1+I132,I106,L106+J$33*(I106-L106))</f>
        <v>0</v>
      </c>
      <c r="K106" s="22">
        <f t="shared" si="56"/>
        <v>0</v>
      </c>
      <c r="L106" s="22">
        <f t="shared" si="57"/>
        <v>0</v>
      </c>
      <c r="M106" s="226">
        <f>(J106)</f>
        <v>0</v>
      </c>
      <c r="N106" s="227">
        <v>15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ref="A107:A118" si="58">IF(A53="","",A53)</f>
        <v/>
      </c>
      <c r="B107" s="75">
        <f t="shared" si="51"/>
        <v>0</v>
      </c>
      <c r="C107" s="75">
        <f t="shared" si="51"/>
        <v>0</v>
      </c>
      <c r="D107" s="24">
        <f t="shared" ref="D107:D118" si="59">(B107+C107)</f>
        <v>0</v>
      </c>
      <c r="H107" s="24">
        <f t="shared" ref="H107:H118" si="60">(E53*F53/G53*F$7/F$9)</f>
        <v>0.60606060606060608</v>
      </c>
      <c r="I107" s="22">
        <f t="shared" ref="I107:I118" si="61">(D107*H107)</f>
        <v>0</v>
      </c>
      <c r="J107" s="24">
        <f t="shared" ref="J107:J118" si="62">IF(I$32&lt;=1+I133,I107,L107+J$33*(I107-L107))</f>
        <v>0</v>
      </c>
      <c r="K107" s="22">
        <f t="shared" ref="K107:K118" si="63">(B107)</f>
        <v>0</v>
      </c>
      <c r="L107" s="22">
        <f t="shared" ref="L107:L118" si="64">(K107*H107)</f>
        <v>0</v>
      </c>
      <c r="M107" s="226">
        <f t="shared" ref="M107:M118" si="65">(J107)</f>
        <v>0</v>
      </c>
      <c r="N107" s="227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8"/>
        <v/>
      </c>
      <c r="B108" s="75">
        <f t="shared" si="51"/>
        <v>0</v>
      </c>
      <c r="C108" s="75">
        <f t="shared" si="51"/>
        <v>0</v>
      </c>
      <c r="D108" s="24">
        <f t="shared" si="59"/>
        <v>0</v>
      </c>
      <c r="H108" s="24">
        <f t="shared" si="60"/>
        <v>0.60606060606060608</v>
      </c>
      <c r="I108" s="22">
        <f t="shared" si="61"/>
        <v>0</v>
      </c>
      <c r="J108" s="24">
        <f t="shared" si="62"/>
        <v>0</v>
      </c>
      <c r="K108" s="22">
        <f t="shared" si="63"/>
        <v>0</v>
      </c>
      <c r="L108" s="22">
        <f t="shared" si="64"/>
        <v>0</v>
      </c>
      <c r="M108" s="226">
        <f t="shared" si="65"/>
        <v>0</v>
      </c>
      <c r="N108" s="227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8"/>
        <v/>
      </c>
      <c r="B109" s="75">
        <f t="shared" si="51"/>
        <v>0</v>
      </c>
      <c r="C109" s="75">
        <f t="shared" si="51"/>
        <v>0</v>
      </c>
      <c r="D109" s="24">
        <f t="shared" si="59"/>
        <v>0</v>
      </c>
      <c r="H109" s="24">
        <f t="shared" si="60"/>
        <v>0.60606060606060608</v>
      </c>
      <c r="I109" s="22">
        <f t="shared" si="61"/>
        <v>0</v>
      </c>
      <c r="J109" s="24">
        <f t="shared" si="62"/>
        <v>0</v>
      </c>
      <c r="K109" s="22">
        <f t="shared" si="63"/>
        <v>0</v>
      </c>
      <c r="L109" s="22">
        <f t="shared" si="64"/>
        <v>0</v>
      </c>
      <c r="M109" s="226">
        <f t="shared" si="65"/>
        <v>0</v>
      </c>
      <c r="N109" s="227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8"/>
        <v/>
      </c>
      <c r="B110" s="75">
        <f t="shared" si="51"/>
        <v>0</v>
      </c>
      <c r="C110" s="75">
        <f t="shared" si="51"/>
        <v>0</v>
      </c>
      <c r="D110" s="24">
        <f t="shared" si="59"/>
        <v>0</v>
      </c>
      <c r="H110" s="24">
        <f t="shared" si="60"/>
        <v>0.60606060606060608</v>
      </c>
      <c r="I110" s="22">
        <f t="shared" si="61"/>
        <v>0</v>
      </c>
      <c r="J110" s="24">
        <f t="shared" si="62"/>
        <v>0</v>
      </c>
      <c r="K110" s="22">
        <f t="shared" si="63"/>
        <v>0</v>
      </c>
      <c r="L110" s="22">
        <f t="shared" si="64"/>
        <v>0</v>
      </c>
      <c r="M110" s="226">
        <f t="shared" si="65"/>
        <v>0</v>
      </c>
      <c r="N110" s="227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8"/>
        <v/>
      </c>
      <c r="B111" s="75">
        <f t="shared" si="51"/>
        <v>0</v>
      </c>
      <c r="C111" s="75">
        <f t="shared" si="51"/>
        <v>0</v>
      </c>
      <c r="D111" s="24">
        <f t="shared" si="59"/>
        <v>0</v>
      </c>
      <c r="H111" s="24">
        <f t="shared" si="60"/>
        <v>0.60606060606060608</v>
      </c>
      <c r="I111" s="22">
        <f t="shared" si="61"/>
        <v>0</v>
      </c>
      <c r="J111" s="24">
        <f t="shared" si="62"/>
        <v>0</v>
      </c>
      <c r="K111" s="22">
        <f t="shared" si="63"/>
        <v>0</v>
      </c>
      <c r="L111" s="22">
        <f t="shared" si="64"/>
        <v>0</v>
      </c>
      <c r="M111" s="226">
        <f t="shared" si="65"/>
        <v>0</v>
      </c>
      <c r="N111" s="227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8"/>
        <v/>
      </c>
      <c r="B112" s="75">
        <f t="shared" si="51"/>
        <v>0</v>
      </c>
      <c r="C112" s="75">
        <f t="shared" si="51"/>
        <v>0</v>
      </c>
      <c r="D112" s="24">
        <f t="shared" si="59"/>
        <v>0</v>
      </c>
      <c r="H112" s="24">
        <f t="shared" si="60"/>
        <v>0.60606060606060608</v>
      </c>
      <c r="I112" s="22">
        <f t="shared" si="61"/>
        <v>0</v>
      </c>
      <c r="J112" s="24">
        <f t="shared" si="62"/>
        <v>0</v>
      </c>
      <c r="K112" s="22">
        <f t="shared" si="63"/>
        <v>0</v>
      </c>
      <c r="L112" s="22">
        <f t="shared" si="64"/>
        <v>0</v>
      </c>
      <c r="M112" s="226">
        <f t="shared" si="65"/>
        <v>0</v>
      </c>
      <c r="N112" s="227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8"/>
        <v/>
      </c>
      <c r="B113" s="75">
        <f t="shared" si="51"/>
        <v>0</v>
      </c>
      <c r="C113" s="75">
        <f t="shared" si="51"/>
        <v>0</v>
      </c>
      <c r="D113" s="24">
        <f t="shared" si="59"/>
        <v>0</v>
      </c>
      <c r="H113" s="24">
        <f t="shared" si="60"/>
        <v>0.60606060606060608</v>
      </c>
      <c r="I113" s="22">
        <f t="shared" si="61"/>
        <v>0</v>
      </c>
      <c r="J113" s="24">
        <f t="shared" si="62"/>
        <v>0</v>
      </c>
      <c r="K113" s="22">
        <f t="shared" si="63"/>
        <v>0</v>
      </c>
      <c r="L113" s="22">
        <f t="shared" si="64"/>
        <v>0</v>
      </c>
      <c r="M113" s="226">
        <f t="shared" si="65"/>
        <v>0</v>
      </c>
      <c r="N113" s="227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8"/>
        <v/>
      </c>
      <c r="B114" s="75">
        <f t="shared" si="51"/>
        <v>0</v>
      </c>
      <c r="C114" s="75">
        <f t="shared" si="51"/>
        <v>0</v>
      </c>
      <c r="D114" s="24">
        <f t="shared" si="59"/>
        <v>0</v>
      </c>
      <c r="H114" s="24">
        <f t="shared" si="60"/>
        <v>0.60606060606060608</v>
      </c>
      <c r="I114" s="22">
        <f t="shared" si="61"/>
        <v>0</v>
      </c>
      <c r="J114" s="24">
        <f t="shared" si="62"/>
        <v>0</v>
      </c>
      <c r="K114" s="22">
        <f t="shared" si="63"/>
        <v>0</v>
      </c>
      <c r="L114" s="22">
        <f t="shared" si="64"/>
        <v>0</v>
      </c>
      <c r="M114" s="226">
        <f t="shared" si="65"/>
        <v>0</v>
      </c>
      <c r="N114" s="227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8"/>
        <v/>
      </c>
      <c r="B115" s="75">
        <f t="shared" si="51"/>
        <v>0</v>
      </c>
      <c r="C115" s="75">
        <f t="shared" si="51"/>
        <v>0</v>
      </c>
      <c r="D115" s="24">
        <f t="shared" si="59"/>
        <v>0</v>
      </c>
      <c r="H115" s="24">
        <f t="shared" si="60"/>
        <v>0.60606060606060608</v>
      </c>
      <c r="I115" s="22">
        <f t="shared" si="61"/>
        <v>0</v>
      </c>
      <c r="J115" s="24">
        <f t="shared" si="62"/>
        <v>0</v>
      </c>
      <c r="K115" s="22">
        <f t="shared" si="63"/>
        <v>0</v>
      </c>
      <c r="L115" s="22">
        <f t="shared" si="64"/>
        <v>0</v>
      </c>
      <c r="M115" s="226">
        <f t="shared" si="65"/>
        <v>0</v>
      </c>
      <c r="N115" s="227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8"/>
        <v/>
      </c>
      <c r="B116" s="75">
        <f t="shared" si="51"/>
        <v>0</v>
      </c>
      <c r="C116" s="75">
        <f t="shared" si="51"/>
        <v>0</v>
      </c>
      <c r="D116" s="24">
        <f t="shared" si="59"/>
        <v>0</v>
      </c>
      <c r="H116" s="24">
        <f t="shared" si="60"/>
        <v>0.60606060606060608</v>
      </c>
      <c r="I116" s="22">
        <f t="shared" si="61"/>
        <v>0</v>
      </c>
      <c r="J116" s="24">
        <f t="shared" si="62"/>
        <v>0</v>
      </c>
      <c r="K116" s="22">
        <f t="shared" si="63"/>
        <v>0</v>
      </c>
      <c r="L116" s="22">
        <f t="shared" si="64"/>
        <v>0</v>
      </c>
      <c r="M116" s="226">
        <f t="shared" si="65"/>
        <v>0</v>
      </c>
      <c r="N116" s="227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8"/>
        <v/>
      </c>
      <c r="B117" s="75">
        <f t="shared" si="51"/>
        <v>0</v>
      </c>
      <c r="C117" s="75">
        <f t="shared" si="51"/>
        <v>0</v>
      </c>
      <c r="D117" s="24">
        <f t="shared" si="59"/>
        <v>0</v>
      </c>
      <c r="H117" s="24">
        <f t="shared" si="60"/>
        <v>0.60606060606060608</v>
      </c>
      <c r="I117" s="22">
        <f t="shared" si="61"/>
        <v>0</v>
      </c>
      <c r="J117" s="24">
        <f t="shared" si="62"/>
        <v>0</v>
      </c>
      <c r="K117" s="22">
        <f t="shared" si="63"/>
        <v>0</v>
      </c>
      <c r="L117" s="22">
        <f t="shared" si="64"/>
        <v>0</v>
      </c>
      <c r="M117" s="226">
        <f t="shared" si="65"/>
        <v>0</v>
      </c>
      <c r="N117" s="227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8"/>
        <v/>
      </c>
      <c r="B118" s="75">
        <f t="shared" si="51"/>
        <v>0</v>
      </c>
      <c r="C118" s="75">
        <f t="shared" si="51"/>
        <v>0</v>
      </c>
      <c r="D118" s="24">
        <f t="shared" si="59"/>
        <v>0</v>
      </c>
      <c r="H118" s="24">
        <f t="shared" si="60"/>
        <v>0.60606060606060608</v>
      </c>
      <c r="I118" s="22">
        <f t="shared" si="61"/>
        <v>0</v>
      </c>
      <c r="J118" s="24">
        <f t="shared" si="62"/>
        <v>0</v>
      </c>
      <c r="K118" s="22">
        <f t="shared" si="63"/>
        <v>0</v>
      </c>
      <c r="L118" s="22">
        <f t="shared" si="64"/>
        <v>0</v>
      </c>
      <c r="M118" s="226">
        <f t="shared" si="65"/>
        <v>0</v>
      </c>
      <c r="N118" s="227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2.7034942342398596</v>
      </c>
      <c r="C119" s="22">
        <f>SUM(C91:C118)</f>
        <v>0</v>
      </c>
      <c r="D119" s="24">
        <f>SUM(D91:D118)</f>
        <v>2.7034942342398596</v>
      </c>
      <c r="E119" s="22"/>
      <c r="F119" s="2"/>
      <c r="G119" s="2"/>
      <c r="H119" s="31"/>
      <c r="I119" s="22">
        <f>SUM(I91:I118)</f>
        <v>0.25133285988991005</v>
      </c>
      <c r="J119" s="24">
        <f>SUM(J91:J118)</f>
        <v>0.25133285988991005</v>
      </c>
      <c r="K119" s="22">
        <f>SUM(K91:K118)</f>
        <v>2.7034942342398596</v>
      </c>
      <c r="L119" s="22">
        <f>SUM(L91:L118)</f>
        <v>0.25133285988991005</v>
      </c>
      <c r="M119" s="57">
        <f t="shared" si="49"/>
        <v>0.25133285988991005</v>
      </c>
      <c r="N119" s="221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Very Poor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6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6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1.2688663498045756</v>
      </c>
      <c r="C124" s="2"/>
      <c r="D124" s="24"/>
      <c r="H124" s="96">
        <f>(E70*F70/G$37*F$7/F$9)</f>
        <v>0.84848484848484851</v>
      </c>
      <c r="I124" s="29">
        <f>IF(SUMPRODUCT($B$124:$B124,$H$124:$H124)&lt;I$119,($B124*$H124),I$119)</f>
        <v>0.25133285988991005</v>
      </c>
      <c r="J124" s="235">
        <f>IF(SUMPRODUCT($B$124:$B124,$H$124:$H124)&lt;J$119,($B124*$H124),J$119)</f>
        <v>0.25133285988991005</v>
      </c>
      <c r="K124" s="29">
        <f>(B124)</f>
        <v>1.2688663498045756</v>
      </c>
      <c r="L124" s="29">
        <f>IF(SUMPRODUCT($B$124:$B124,$H$124:$H124)&lt;L$119,($B124*$H124),L$119)</f>
        <v>0.25133285988991005</v>
      </c>
      <c r="M124" s="238">
        <f t="shared" si="66"/>
        <v>0.25133285988991005</v>
      </c>
      <c r="N124" s="58"/>
      <c r="O124" s="174">
        <f>B124*H124</f>
        <v>1.076613872561458</v>
      </c>
      <c r="P124" s="172"/>
      <c r="Q124" s="173"/>
      <c r="R124" s="69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1.3234775030227426</v>
      </c>
      <c r="C125" s="2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</v>
      </c>
      <c r="J125" s="235">
        <f>IF(SUMPRODUCT($B$124:$B125,$H$124:$H125)&lt;J$119,($B125*$H125),IF(SUMPRODUCT($B$124:$B124,$H$124:$H124)&lt;J$119,J$119-SUMPRODUCT($B$124:$B124,$H$124:$H124),0))</f>
        <v>0</v>
      </c>
      <c r="K125" s="29">
        <f>(B125)</f>
        <v>1.3234775030227426</v>
      </c>
      <c r="L125" s="29">
        <f>IF(SUMPRODUCT($B$124:$B125,$H$124:$H125)&lt;L$119,($B125*$H125),IF(SUMPRODUCT($B$124:$B124,$H$124:$H124)&lt;L$119,L$119-SUMPRODUCT($B$124:$B124,$H$124:$H124),0))</f>
        <v>0</v>
      </c>
      <c r="M125" s="238">
        <f t="shared" si="66"/>
        <v>0</v>
      </c>
      <c r="N125" s="58"/>
      <c r="O125" s="174"/>
      <c r="P125" s="172"/>
      <c r="Q125" s="173"/>
      <c r="R125" s="69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2.3569770526272875</v>
      </c>
      <c r="C126" s="2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5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67">(B126)</f>
        <v>2.3569770526272875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38">
        <f t="shared" si="66"/>
        <v>0</v>
      </c>
      <c r="N126" s="58"/>
      <c r="O126" s="174"/>
      <c r="P126" s="172"/>
      <c r="Q126" s="173"/>
      <c r="R126" s="69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0.3954509612518925</v>
      </c>
      <c r="C127" s="2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5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67"/>
        <v>0.3954509612518925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38">
        <f t="shared" si="66"/>
        <v>0</v>
      </c>
      <c r="N127" s="58"/>
      <c r="O127" s="174">
        <f>B127*H127</f>
        <v>0.28280735410741403</v>
      </c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0.68939859227895406</v>
      </c>
      <c r="C128" s="2"/>
      <c r="D128" s="31"/>
      <c r="E128" s="2"/>
      <c r="F128" s="2"/>
      <c r="G128" s="2"/>
      <c r="H128" s="24"/>
      <c r="I128" s="29">
        <f>(I30)</f>
        <v>0</v>
      </c>
      <c r="J128" s="226">
        <f>(J30)</f>
        <v>0</v>
      </c>
      <c r="K128" s="29">
        <f>(B128)</f>
        <v>0.68939859227895406</v>
      </c>
      <c r="L128" s="29">
        <f>IF(L124=L119,0,(L119-L124)/(B119-B124)*K128)</f>
        <v>0</v>
      </c>
      <c r="M128" s="238">
        <f t="shared" si="66"/>
        <v>0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6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38">
        <f t="shared" si="66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9">
        <f>(B119)</f>
        <v>2.7034942342398596</v>
      </c>
      <c r="C130" s="2"/>
      <c r="D130" s="31"/>
      <c r="E130" s="2"/>
      <c r="F130" s="2"/>
      <c r="G130" s="2"/>
      <c r="H130" s="24"/>
      <c r="I130" s="29">
        <f>(I119)</f>
        <v>0.25133285988991005</v>
      </c>
      <c r="J130" s="226">
        <f>(J119)</f>
        <v>0.25133285988991005</v>
      </c>
      <c r="K130" s="29">
        <f>(B130)</f>
        <v>2.7034942342398596</v>
      </c>
      <c r="L130" s="29">
        <f>(L119)</f>
        <v>0.25133285988991005</v>
      </c>
      <c r="M130" s="238">
        <f t="shared" si="66"/>
        <v>0.25133285988991005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1.7717679542272062</v>
      </c>
      <c r="J131" s="235">
        <f>IF(SUMPRODUCT($B124:$B125,$H124:$H125)&gt;(J119-J128),SUMPRODUCT($B124:$B125,$H124:$H125)+J128-J119,0)</f>
        <v>1.7717679542272062</v>
      </c>
      <c r="K131" s="29"/>
      <c r="L131" s="29">
        <f>IF(I131&lt;SUM(L126:L127),0,I131-(SUM(L126:L127)))</f>
        <v>1.7717679542272062</v>
      </c>
      <c r="M131" s="235">
        <f>IF(I131&lt;SUM(M126:M127),0,I131-(SUM(M126:M127)))</f>
        <v>1.7717679542272062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AF1:AG1"/>
    <mergeCell ref="AF2:AG2"/>
    <mergeCell ref="Z2:AA2"/>
    <mergeCell ref="AB2:AC2"/>
    <mergeCell ref="Z1:AA1"/>
    <mergeCell ref="AB1:AC1"/>
    <mergeCell ref="AD1:AE1"/>
    <mergeCell ref="AD2:AE2"/>
  </mergeCells>
  <phoneticPr fontId="1" type="noConversion"/>
  <conditionalFormatting sqref="U7:U22">
    <cfRule type="cellIs" dxfId="699" priority="132" operator="equal">
      <formula>16</formula>
    </cfRule>
    <cfRule type="cellIs" dxfId="698" priority="133" operator="equal">
      <formula>15</formula>
    </cfRule>
    <cfRule type="cellIs" dxfId="697" priority="134" operator="equal">
      <formula>14</formula>
    </cfRule>
    <cfRule type="cellIs" dxfId="696" priority="135" operator="equal">
      <formula>13</formula>
    </cfRule>
    <cfRule type="cellIs" dxfId="695" priority="136" operator="equal">
      <formula>12</formula>
    </cfRule>
    <cfRule type="cellIs" dxfId="694" priority="137" operator="equal">
      <formula>11</formula>
    </cfRule>
    <cfRule type="cellIs" dxfId="693" priority="138" operator="equal">
      <formula>10</formula>
    </cfRule>
    <cfRule type="cellIs" dxfId="692" priority="139" operator="equal">
      <formula>9</formula>
    </cfRule>
    <cfRule type="cellIs" dxfId="691" priority="140" operator="equal">
      <formula>8</formula>
    </cfRule>
    <cfRule type="cellIs" dxfId="690" priority="141" operator="equal">
      <formula>7</formula>
    </cfRule>
    <cfRule type="cellIs" dxfId="689" priority="142" operator="equal">
      <formula>6</formula>
    </cfRule>
    <cfRule type="cellIs" dxfId="688" priority="143" operator="equal">
      <formula>5</formula>
    </cfRule>
    <cfRule type="cellIs" dxfId="687" priority="144" operator="equal">
      <formula>4</formula>
    </cfRule>
    <cfRule type="cellIs" dxfId="686" priority="145" operator="equal">
      <formula>3</formula>
    </cfRule>
    <cfRule type="cellIs" dxfId="685" priority="146" operator="equal">
      <formula>2</formula>
    </cfRule>
    <cfRule type="cellIs" dxfId="684" priority="147" operator="equal">
      <formula>1</formula>
    </cfRule>
  </conditionalFormatting>
  <conditionalFormatting sqref="N29">
    <cfRule type="cellIs" dxfId="683" priority="116" operator="equal">
      <formula>16</formula>
    </cfRule>
    <cfRule type="cellIs" dxfId="682" priority="117" operator="equal">
      <formula>15</formula>
    </cfRule>
    <cfRule type="cellIs" dxfId="681" priority="118" operator="equal">
      <formula>14</formula>
    </cfRule>
    <cfRule type="cellIs" dxfId="680" priority="119" operator="equal">
      <formula>13</formula>
    </cfRule>
    <cfRule type="cellIs" dxfId="679" priority="120" operator="equal">
      <formula>12</formula>
    </cfRule>
    <cfRule type="cellIs" dxfId="678" priority="121" operator="equal">
      <formula>11</formula>
    </cfRule>
    <cfRule type="cellIs" dxfId="677" priority="122" operator="equal">
      <formula>10</formula>
    </cfRule>
    <cfRule type="cellIs" dxfId="676" priority="123" operator="equal">
      <formula>9</formula>
    </cfRule>
    <cfRule type="cellIs" dxfId="675" priority="124" operator="equal">
      <formula>8</formula>
    </cfRule>
    <cfRule type="cellIs" dxfId="674" priority="125" operator="equal">
      <formula>7</formula>
    </cfRule>
    <cfRule type="cellIs" dxfId="673" priority="126" operator="equal">
      <formula>6</formula>
    </cfRule>
    <cfRule type="cellIs" dxfId="672" priority="127" operator="equal">
      <formula>5</formula>
    </cfRule>
    <cfRule type="cellIs" dxfId="671" priority="128" operator="equal">
      <formula>4</formula>
    </cfRule>
    <cfRule type="cellIs" dxfId="670" priority="129" operator="equal">
      <formula>3</formula>
    </cfRule>
    <cfRule type="cellIs" dxfId="669" priority="130" operator="equal">
      <formula>2</formula>
    </cfRule>
    <cfRule type="cellIs" dxfId="668" priority="131" operator="equal">
      <formula>1</formula>
    </cfRule>
  </conditionalFormatting>
  <conditionalFormatting sqref="N113:N119">
    <cfRule type="cellIs" dxfId="667" priority="100" operator="equal">
      <formula>16</formula>
    </cfRule>
    <cfRule type="cellIs" dxfId="666" priority="101" operator="equal">
      <formula>15</formula>
    </cfRule>
    <cfRule type="cellIs" dxfId="665" priority="102" operator="equal">
      <formula>14</formula>
    </cfRule>
    <cfRule type="cellIs" dxfId="664" priority="103" operator="equal">
      <formula>13</formula>
    </cfRule>
    <cfRule type="cellIs" dxfId="663" priority="104" operator="equal">
      <formula>12</formula>
    </cfRule>
    <cfRule type="cellIs" dxfId="662" priority="105" operator="equal">
      <formula>11</formula>
    </cfRule>
    <cfRule type="cellIs" dxfId="661" priority="106" operator="equal">
      <formula>10</formula>
    </cfRule>
    <cfRule type="cellIs" dxfId="660" priority="107" operator="equal">
      <formula>9</formula>
    </cfRule>
    <cfRule type="cellIs" dxfId="659" priority="108" operator="equal">
      <formula>8</formula>
    </cfRule>
    <cfRule type="cellIs" dxfId="658" priority="109" operator="equal">
      <formula>7</formula>
    </cfRule>
    <cfRule type="cellIs" dxfId="657" priority="110" operator="equal">
      <formula>6</formula>
    </cfRule>
    <cfRule type="cellIs" dxfId="656" priority="111" operator="equal">
      <formula>5</formula>
    </cfRule>
    <cfRule type="cellIs" dxfId="655" priority="112" operator="equal">
      <formula>4</formula>
    </cfRule>
    <cfRule type="cellIs" dxfId="654" priority="113" operator="equal">
      <formula>3</formula>
    </cfRule>
    <cfRule type="cellIs" dxfId="653" priority="114" operator="equal">
      <formula>2</formula>
    </cfRule>
    <cfRule type="cellIs" dxfId="652" priority="115" operator="equal">
      <formula>1</formula>
    </cfRule>
  </conditionalFormatting>
  <conditionalFormatting sqref="N91:N104">
    <cfRule type="cellIs" dxfId="651" priority="84" operator="equal">
      <formula>16</formula>
    </cfRule>
    <cfRule type="cellIs" dxfId="650" priority="85" operator="equal">
      <formula>15</formula>
    </cfRule>
    <cfRule type="cellIs" dxfId="649" priority="86" operator="equal">
      <formula>14</formula>
    </cfRule>
    <cfRule type="cellIs" dxfId="648" priority="87" operator="equal">
      <formula>13</formula>
    </cfRule>
    <cfRule type="cellIs" dxfId="647" priority="88" operator="equal">
      <formula>12</formula>
    </cfRule>
    <cfRule type="cellIs" dxfId="646" priority="89" operator="equal">
      <formula>11</formula>
    </cfRule>
    <cfRule type="cellIs" dxfId="645" priority="90" operator="equal">
      <formula>10</formula>
    </cfRule>
    <cfRule type="cellIs" dxfId="644" priority="91" operator="equal">
      <formula>9</formula>
    </cfRule>
    <cfRule type="cellIs" dxfId="643" priority="92" operator="equal">
      <formula>8</formula>
    </cfRule>
    <cfRule type="cellIs" dxfId="642" priority="93" operator="equal">
      <formula>7</formula>
    </cfRule>
    <cfRule type="cellIs" dxfId="641" priority="94" operator="equal">
      <formula>6</formula>
    </cfRule>
    <cfRule type="cellIs" dxfId="640" priority="95" operator="equal">
      <formula>5</formula>
    </cfRule>
    <cfRule type="cellIs" dxfId="639" priority="96" operator="equal">
      <formula>4</formula>
    </cfRule>
    <cfRule type="cellIs" dxfId="638" priority="97" operator="equal">
      <formula>3</formula>
    </cfRule>
    <cfRule type="cellIs" dxfId="637" priority="98" operator="equal">
      <formula>2</formula>
    </cfRule>
    <cfRule type="cellIs" dxfId="636" priority="99" operator="equal">
      <formula>1</formula>
    </cfRule>
  </conditionalFormatting>
  <conditionalFormatting sqref="N105:N112">
    <cfRule type="cellIs" dxfId="635" priority="68" operator="equal">
      <formula>16</formula>
    </cfRule>
    <cfRule type="cellIs" dxfId="634" priority="69" operator="equal">
      <formula>15</formula>
    </cfRule>
    <cfRule type="cellIs" dxfId="633" priority="70" operator="equal">
      <formula>14</formula>
    </cfRule>
    <cfRule type="cellIs" dxfId="632" priority="71" operator="equal">
      <formula>13</formula>
    </cfRule>
    <cfRule type="cellIs" dxfId="631" priority="72" operator="equal">
      <formula>12</formula>
    </cfRule>
    <cfRule type="cellIs" dxfId="630" priority="73" operator="equal">
      <formula>11</formula>
    </cfRule>
    <cfRule type="cellIs" dxfId="629" priority="74" operator="equal">
      <formula>10</formula>
    </cfRule>
    <cfRule type="cellIs" dxfId="628" priority="75" operator="equal">
      <formula>9</formula>
    </cfRule>
    <cfRule type="cellIs" dxfId="627" priority="76" operator="equal">
      <formula>8</formula>
    </cfRule>
    <cfRule type="cellIs" dxfId="626" priority="77" operator="equal">
      <formula>7</formula>
    </cfRule>
    <cfRule type="cellIs" dxfId="625" priority="78" operator="equal">
      <formula>6</formula>
    </cfRule>
    <cfRule type="cellIs" dxfId="624" priority="79" operator="equal">
      <formula>5</formula>
    </cfRule>
    <cfRule type="cellIs" dxfId="623" priority="80" operator="equal">
      <formula>4</formula>
    </cfRule>
    <cfRule type="cellIs" dxfId="622" priority="81" operator="equal">
      <formula>3</formula>
    </cfRule>
    <cfRule type="cellIs" dxfId="621" priority="82" operator="equal">
      <formula>2</formula>
    </cfRule>
    <cfRule type="cellIs" dxfId="620" priority="83" operator="equal">
      <formula>1</formula>
    </cfRule>
  </conditionalFormatting>
  <conditionalFormatting sqref="N27:N28">
    <cfRule type="cellIs" dxfId="619" priority="52" operator="equal">
      <formula>16</formula>
    </cfRule>
    <cfRule type="cellIs" dxfId="618" priority="53" operator="equal">
      <formula>15</formula>
    </cfRule>
    <cfRule type="cellIs" dxfId="617" priority="54" operator="equal">
      <formula>14</formula>
    </cfRule>
    <cfRule type="cellIs" dxfId="616" priority="55" operator="equal">
      <formula>13</formula>
    </cfRule>
    <cfRule type="cellIs" dxfId="615" priority="56" operator="equal">
      <formula>12</formula>
    </cfRule>
    <cfRule type="cellIs" dxfId="614" priority="57" operator="equal">
      <formula>11</formula>
    </cfRule>
    <cfRule type="cellIs" dxfId="613" priority="58" operator="equal">
      <formula>10</formula>
    </cfRule>
    <cfRule type="cellIs" dxfId="612" priority="59" operator="equal">
      <formula>9</formula>
    </cfRule>
    <cfRule type="cellIs" dxfId="611" priority="60" operator="equal">
      <formula>8</formula>
    </cfRule>
    <cfRule type="cellIs" dxfId="610" priority="61" operator="equal">
      <formula>7</formula>
    </cfRule>
    <cfRule type="cellIs" dxfId="609" priority="62" operator="equal">
      <formula>6</formula>
    </cfRule>
    <cfRule type="cellIs" dxfId="608" priority="63" operator="equal">
      <formula>5</formula>
    </cfRule>
    <cfRule type="cellIs" dxfId="607" priority="64" operator="equal">
      <formula>4</formula>
    </cfRule>
    <cfRule type="cellIs" dxfId="606" priority="65" operator="equal">
      <formula>3</formula>
    </cfRule>
    <cfRule type="cellIs" dxfId="605" priority="66" operator="equal">
      <formula>2</formula>
    </cfRule>
    <cfRule type="cellIs" dxfId="604" priority="67" operator="equal">
      <formula>1</formula>
    </cfRule>
  </conditionalFormatting>
  <conditionalFormatting sqref="N6:N26">
    <cfRule type="cellIs" dxfId="603" priority="36" operator="equal">
      <formula>16</formula>
    </cfRule>
    <cfRule type="cellIs" dxfId="602" priority="37" operator="equal">
      <formula>15</formula>
    </cfRule>
    <cfRule type="cellIs" dxfId="601" priority="38" operator="equal">
      <formula>14</formula>
    </cfRule>
    <cfRule type="cellIs" dxfId="600" priority="39" operator="equal">
      <formula>13</formula>
    </cfRule>
    <cfRule type="cellIs" dxfId="599" priority="40" operator="equal">
      <formula>12</formula>
    </cfRule>
    <cfRule type="cellIs" dxfId="598" priority="41" operator="equal">
      <formula>11</formula>
    </cfRule>
    <cfRule type="cellIs" dxfId="597" priority="42" operator="equal">
      <formula>10</formula>
    </cfRule>
    <cfRule type="cellIs" dxfId="596" priority="43" operator="equal">
      <formula>9</formula>
    </cfRule>
    <cfRule type="cellIs" dxfId="595" priority="44" operator="equal">
      <formula>8</formula>
    </cfRule>
    <cfRule type="cellIs" dxfId="594" priority="45" operator="equal">
      <formula>7</formula>
    </cfRule>
    <cfRule type="cellIs" dxfId="593" priority="46" operator="equal">
      <formula>6</formula>
    </cfRule>
    <cfRule type="cellIs" dxfId="592" priority="47" operator="equal">
      <formula>5</formula>
    </cfRule>
    <cfRule type="cellIs" dxfId="591" priority="48" operator="equal">
      <formula>4</formula>
    </cfRule>
    <cfRule type="cellIs" dxfId="590" priority="49" operator="equal">
      <formula>3</formula>
    </cfRule>
    <cfRule type="cellIs" dxfId="589" priority="50" operator="equal">
      <formula>2</formula>
    </cfRule>
    <cfRule type="cellIs" dxfId="588" priority="51" operator="equal">
      <formula>1</formula>
    </cfRule>
  </conditionalFormatting>
  <conditionalFormatting sqref="R31:T31">
    <cfRule type="cellIs" dxfId="587" priority="35" operator="greaterThan">
      <formula>0</formula>
    </cfRule>
  </conditionalFormatting>
  <conditionalFormatting sqref="R32:T32">
    <cfRule type="cellIs" dxfId="586" priority="34" operator="greaterThan">
      <formula>0</formula>
    </cfRule>
  </conditionalFormatting>
  <conditionalFormatting sqref="R30:T30">
    <cfRule type="cellIs" dxfId="585" priority="33" operator="greaterThan">
      <formula>0</formula>
    </cfRule>
  </conditionalFormatting>
  <conditionalFormatting sqref="N37:N50">
    <cfRule type="cellIs" dxfId="255" priority="17" operator="equal">
      <formula>16</formula>
    </cfRule>
    <cfRule type="cellIs" dxfId="254" priority="18" operator="equal">
      <formula>15</formula>
    </cfRule>
    <cfRule type="cellIs" dxfId="253" priority="19" operator="equal">
      <formula>14</formula>
    </cfRule>
    <cfRule type="cellIs" dxfId="252" priority="20" operator="equal">
      <formula>13</formula>
    </cfRule>
    <cfRule type="cellIs" dxfId="251" priority="21" operator="equal">
      <formula>12</formula>
    </cfRule>
    <cfRule type="cellIs" dxfId="250" priority="22" operator="equal">
      <formula>11</formula>
    </cfRule>
    <cfRule type="cellIs" dxfId="249" priority="23" operator="equal">
      <formula>10</formula>
    </cfRule>
    <cfRule type="cellIs" dxfId="248" priority="24" operator="equal">
      <formula>9</formula>
    </cfRule>
    <cfRule type="cellIs" dxfId="247" priority="25" operator="equal">
      <formula>8</formula>
    </cfRule>
    <cfRule type="cellIs" dxfId="246" priority="26" operator="equal">
      <formula>7</formula>
    </cfRule>
    <cfRule type="cellIs" dxfId="245" priority="27" operator="equal">
      <formula>6</formula>
    </cfRule>
    <cfRule type="cellIs" dxfId="244" priority="28" operator="equal">
      <formula>5</formula>
    </cfRule>
    <cfRule type="cellIs" dxfId="243" priority="29" operator="equal">
      <formula>4</formula>
    </cfRule>
    <cfRule type="cellIs" dxfId="242" priority="30" operator="equal">
      <formula>3</formula>
    </cfRule>
    <cfRule type="cellIs" dxfId="241" priority="31" operator="equal">
      <formula>2</formula>
    </cfRule>
    <cfRule type="cellIs" dxfId="240" priority="32" operator="equal">
      <formula>1</formula>
    </cfRule>
  </conditionalFormatting>
  <conditionalFormatting sqref="N51:N52">
    <cfRule type="cellIs" dxfId="223" priority="1" operator="equal">
      <formula>16</formula>
    </cfRule>
    <cfRule type="cellIs" dxfId="222" priority="2" operator="equal">
      <formula>15</formula>
    </cfRule>
    <cfRule type="cellIs" dxfId="221" priority="3" operator="equal">
      <formula>14</formula>
    </cfRule>
    <cfRule type="cellIs" dxfId="220" priority="4" operator="equal">
      <formula>13</formula>
    </cfRule>
    <cfRule type="cellIs" dxfId="219" priority="5" operator="equal">
      <formula>12</formula>
    </cfRule>
    <cfRule type="cellIs" dxfId="218" priority="6" operator="equal">
      <formula>11</formula>
    </cfRule>
    <cfRule type="cellIs" dxfId="217" priority="7" operator="equal">
      <formula>10</formula>
    </cfRule>
    <cfRule type="cellIs" dxfId="216" priority="8" operator="equal">
      <formula>9</formula>
    </cfRule>
    <cfRule type="cellIs" dxfId="215" priority="9" operator="equal">
      <formula>8</formula>
    </cfRule>
    <cfRule type="cellIs" dxfId="214" priority="10" operator="equal">
      <formula>7</formula>
    </cfRule>
    <cfRule type="cellIs" dxfId="213" priority="11" operator="equal">
      <formula>6</formula>
    </cfRule>
    <cfRule type="cellIs" dxfId="212" priority="12" operator="equal">
      <formula>5</formula>
    </cfRule>
    <cfRule type="cellIs" dxfId="211" priority="13" operator="equal">
      <formula>4</formula>
    </cfRule>
    <cfRule type="cellIs" dxfId="210" priority="14" operator="equal">
      <formula>3</formula>
    </cfRule>
    <cfRule type="cellIs" dxfId="209" priority="15" operator="equal">
      <formula>2</formula>
    </cfRule>
    <cfRule type="cellIs" dxfId="208" priority="16" operator="equal">
      <formula>1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F18" activePane="bottomRight" state="frozen"/>
      <selection pane="topRight" activeCell="B1" sqref="B1"/>
      <selection pane="bottomLeft" activeCell="A3" sqref="A3"/>
      <selection pane="bottomRight" activeCell="R50" sqref="R50"/>
    </sheetView>
  </sheetViews>
  <sheetFormatPr baseColWidth="10" defaultColWidth="8" defaultRowHeight="15" x14ac:dyDescent="0"/>
  <cols>
    <col min="1" max="1" width="21.85546875" style="67" customWidth="1"/>
    <col min="2" max="3" width="6.85546875" style="67" customWidth="1"/>
    <col min="4" max="6" width="6.85546875" style="4" customWidth="1"/>
    <col min="7" max="7" width="6.5703125" style="4" customWidth="1"/>
    <col min="8" max="8" width="6.7109375" style="4" customWidth="1"/>
    <col min="9" max="12" width="6.85546875" style="4" customWidth="1"/>
    <col min="13" max="13" width="7.7109375" style="4" customWidth="1"/>
    <col min="14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[1]WB!$B$1 &amp; ": " &amp; [1]WB!$D1</f>
        <v>ZAKHC: 59208</v>
      </c>
      <c r="B1" s="241" t="str">
        <f>[1]WB!$A$2</f>
        <v>Okhahlamba open access intense crops and livestock</v>
      </c>
      <c r="C1" s="1"/>
      <c r="D1" s="2"/>
      <c r="E1" s="2"/>
      <c r="F1" s="2"/>
      <c r="G1" s="2"/>
      <c r="H1" s="2" t="s">
        <v>0</v>
      </c>
      <c r="I1" s="2"/>
      <c r="J1" s="3"/>
      <c r="L1" s="2"/>
      <c r="O1" s="2"/>
      <c r="P1" s="2"/>
      <c r="Q1" s="56"/>
      <c r="R1" s="56"/>
      <c r="S1" s="67"/>
      <c r="T1" s="56"/>
      <c r="U1" s="56"/>
      <c r="V1" s="56"/>
      <c r="W1" s="110"/>
      <c r="X1" s="114" t="s">
        <v>67</v>
      </c>
      <c r="Y1" s="115" t="s">
        <v>58</v>
      </c>
      <c r="Z1" s="254" t="s">
        <v>105</v>
      </c>
      <c r="AA1" s="255"/>
      <c r="AB1" s="254" t="s">
        <v>106</v>
      </c>
      <c r="AC1" s="255"/>
      <c r="AD1" s="254" t="s">
        <v>107</v>
      </c>
      <c r="AE1" s="255"/>
      <c r="AF1" s="254" t="s">
        <v>108</v>
      </c>
      <c r="AG1" s="255"/>
      <c r="AH1" s="117"/>
      <c r="AI1" s="110"/>
      <c r="AJ1" s="199" t="str">
        <f>LEFT(Z1,4) &amp; MID(AB1,5,3)</f>
        <v>Apr-Sep</v>
      </c>
      <c r="AK1" s="200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8"/>
      <c r="C2" s="9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56"/>
      <c r="R2" s="56"/>
      <c r="S2" s="67"/>
      <c r="T2" s="56"/>
      <c r="U2" s="56"/>
      <c r="V2" s="56"/>
      <c r="W2" s="110"/>
      <c r="X2" s="118" t="s">
        <v>59</v>
      </c>
      <c r="Y2" s="115" t="s">
        <v>60</v>
      </c>
      <c r="Z2" s="252" t="s">
        <v>109</v>
      </c>
      <c r="AA2" s="256"/>
      <c r="AB2" s="252" t="s">
        <v>110</v>
      </c>
      <c r="AC2" s="256"/>
      <c r="AD2" s="252" t="s">
        <v>111</v>
      </c>
      <c r="AE2" s="256"/>
      <c r="AF2" s="252" t="s">
        <v>112</v>
      </c>
      <c r="AG2" s="256"/>
      <c r="AH2" s="117"/>
      <c r="AI2" s="110"/>
      <c r="AJ2" s="197" t="s">
        <v>113</v>
      </c>
      <c r="AK2" s="198" t="s">
        <v>114</v>
      </c>
      <c r="CM2" s="6"/>
    </row>
    <row r="3" spans="1:91">
      <c r="A3" s="15" t="s">
        <v>5</v>
      </c>
      <c r="B3" s="1"/>
      <c r="C3" s="1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1"/>
      <c r="B4" s="1" t="s">
        <v>7</v>
      </c>
      <c r="C4" s="1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1"/>
      <c r="B5" s="1" t="s">
        <v>16</v>
      </c>
      <c r="C5" s="1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IF([1]Summ!$A1044="","",[1]Summ!$A1044)</f>
        <v>Cows' milk - season 1</v>
      </c>
      <c r="B6" s="215">
        <f>IF([1]Summ!E1044="",0,[1]Summ!E1044)</f>
        <v>2.3466687422166871E-2</v>
      </c>
      <c r="C6" s="215">
        <f>IF([1]Summ!F1044="",0,[1]Summ!F1044)</f>
        <v>0</v>
      </c>
      <c r="D6" s="24">
        <f t="shared" ref="D6:D16" si="0">SUM(B6,C6)</f>
        <v>2.3466687422166871E-2</v>
      </c>
      <c r="E6" s="26"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4.6933374844333742E-3</v>
      </c>
      <c r="J6" s="24">
        <f t="shared" ref="J6:J13" si="3">IF(I$32&lt;=1+I$131,I6,B6*H6+J$33*(I6-B6*H6))</f>
        <v>4.6933374844333742E-3</v>
      </c>
      <c r="K6" s="22">
        <f t="shared" ref="K6:K31" si="4">B6</f>
        <v>2.3466687422166871E-2</v>
      </c>
      <c r="L6" s="22">
        <f t="shared" ref="L6:L29" si="5">IF(K6="","",K6*H6)</f>
        <v>4.6933374844333742E-3</v>
      </c>
      <c r="M6" s="222">
        <f t="shared" ref="M6:M31" si="6">J6</f>
        <v>4.6933374844333742E-3</v>
      </c>
      <c r="N6" s="227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1.8773349937733497E-2</v>
      </c>
      <c r="Z6" s="116">
        <v>0.17</v>
      </c>
      <c r="AA6" s="121">
        <f>$M6*Z6*4</f>
        <v>3.1914694894146947E-3</v>
      </c>
      <c r="AB6" s="116">
        <v>0.17</v>
      </c>
      <c r="AC6" s="121">
        <f t="shared" ref="AC6:AC29" si="7">$M6*AB6*4</f>
        <v>3.1914694894146947E-3</v>
      </c>
      <c r="AD6" s="116">
        <v>0.33</v>
      </c>
      <c r="AE6" s="121">
        <f t="shared" ref="AE6:AE29" si="8">$M6*AD6*4</f>
        <v>6.1952054794520541E-3</v>
      </c>
      <c r="AF6" s="122">
        <f>1-SUM(Z6,AB6,AD6)</f>
        <v>0.32999999999999996</v>
      </c>
      <c r="AG6" s="121">
        <f>$M6*AF6*4</f>
        <v>6.1952054794520532E-3</v>
      </c>
      <c r="AH6" s="123">
        <f>SUM(Z6,AB6,AD6,AF6)</f>
        <v>1</v>
      </c>
      <c r="AI6" s="183">
        <f>SUM(AA6,AC6,AE6,AG6)/4</f>
        <v>4.6933374844333742E-3</v>
      </c>
      <c r="AJ6" s="120">
        <f>(AA6+AC6)/2</f>
        <v>3.1914694894146947E-3</v>
      </c>
      <c r="AK6" s="119">
        <f>(AE6+AG6)/2</f>
        <v>6.1952054794520532E-3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IF([1]Summ!$A1045="","",[1]Summ!$A1045)</f>
        <v>Own meat</v>
      </c>
      <c r="B7" s="215">
        <f>IF([1]Summ!E1045="",0,[1]Summ!E1045)</f>
        <v>2.4994361768368618E-2</v>
      </c>
      <c r="C7" s="215">
        <f>IF([1]Summ!F1045="",0,[1]Summ!F1045)</f>
        <v>0</v>
      </c>
      <c r="D7" s="24">
        <f t="shared" si="0"/>
        <v>2.4994361768368618E-2</v>
      </c>
      <c r="E7" s="26">
        <v>0.2</v>
      </c>
      <c r="F7" s="27">
        <f>[1]Summ!$P$1</f>
        <v>8800</v>
      </c>
      <c r="H7" s="24">
        <f t="shared" si="1"/>
        <v>0.2</v>
      </c>
      <c r="I7" s="22">
        <f t="shared" si="2"/>
        <v>4.9988723536737237E-3</v>
      </c>
      <c r="J7" s="24">
        <f t="shared" si="3"/>
        <v>4.9988723536737237E-3</v>
      </c>
      <c r="K7" s="22">
        <f t="shared" si="4"/>
        <v>2.4994361768368618E-2</v>
      </c>
      <c r="L7" s="22">
        <f t="shared" si="5"/>
        <v>4.9988723536737237E-3</v>
      </c>
      <c r="M7" s="222">
        <f t="shared" si="6"/>
        <v>4.9988723536737237E-3</v>
      </c>
      <c r="N7" s="227">
        <v>3</v>
      </c>
      <c r="O7" s="2"/>
      <c r="P7" s="22"/>
      <c r="Q7" s="59" t="s">
        <v>71</v>
      </c>
      <c r="R7" s="220">
        <f>IF($B$81=0,0,(SUMIF($N$6:$N$28,$U7,K$6:K$28)+SUMIF($N$91:$N$118,$U7,K$91:K$118))*$B$83*$H$84*Poor!$B$81/$B$81)</f>
        <v>4042.401206537601</v>
      </c>
      <c r="S7" s="220">
        <f>IF($B$81=0,0,(SUMIF($N$6:$N$28,$U7,L$6:L$28)+SUMIF($N$91:$N$118,$U7,L$91:L$118))*$I$83*Poor!$B$81/$B$81)</f>
        <v>1266.8966064428832</v>
      </c>
      <c r="T7" s="220">
        <f>IF($B$81=0,0,(SUMIF($N$6:$N$28,$U7,M$6:M$28)+SUMIF($N$91:$N$118,$U7,M$91:M$118))*$I$83*Poor!$B$81/$B$81)</f>
        <v>1351.9601796764625</v>
      </c>
      <c r="U7" s="221">
        <v>1</v>
      </c>
      <c r="V7" s="56"/>
      <c r="W7" s="115"/>
      <c r="X7" s="124">
        <v>4</v>
      </c>
      <c r="Y7" s="183">
        <f t="shared" ref="Y7:Y29" si="9">M7*4</f>
        <v>1.9995489414694895E-2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1.9995489414694895E-2</v>
      </c>
      <c r="AH7" s="123">
        <f t="shared" ref="AH7:AH30" si="12">SUM(Z7,AB7,AD7,AF7)</f>
        <v>1</v>
      </c>
      <c r="AI7" s="183">
        <f t="shared" ref="AI7:AI30" si="13">SUM(AA7,AC7,AE7,AG7)/4</f>
        <v>4.9988723536737237E-3</v>
      </c>
      <c r="AJ7" s="120">
        <f t="shared" ref="AJ7:AJ31" si="14">(AA7+AC7)/2</f>
        <v>0</v>
      </c>
      <c r="AK7" s="119">
        <f t="shared" ref="AK7:AK31" si="15">(AE7+AG7)/2</f>
        <v>9.9977447073474474E-3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IF([1]Summ!$A1046="","",[1]Summ!$A1046)</f>
        <v>Maize: kg produced</v>
      </c>
      <c r="B8" s="215">
        <f>IF([1]Summ!E1046="",0,[1]Summ!E1046)</f>
        <v>0.19281504452054793</v>
      </c>
      <c r="C8" s="215">
        <f>IF([1]Summ!F1046="",0,[1]Summ!F1046)</f>
        <v>0</v>
      </c>
      <c r="D8" s="24">
        <f t="shared" si="0"/>
        <v>0.19281504452054793</v>
      </c>
      <c r="E8" s="26">
        <v>0.3</v>
      </c>
      <c r="F8" s="22" t="s">
        <v>23</v>
      </c>
      <c r="H8" s="24">
        <f t="shared" si="1"/>
        <v>0.3</v>
      </c>
      <c r="I8" s="22">
        <f t="shared" si="2"/>
        <v>5.7844513356164376E-2</v>
      </c>
      <c r="J8" s="24">
        <f t="shared" si="3"/>
        <v>5.7844513356164376E-2</v>
      </c>
      <c r="K8" s="22">
        <f t="shared" si="4"/>
        <v>0.19281504452054793</v>
      </c>
      <c r="L8" s="22">
        <f t="shared" si="5"/>
        <v>5.7844513356164376E-2</v>
      </c>
      <c r="M8" s="222">
        <f t="shared" si="6"/>
        <v>5.7844513356164376E-2</v>
      </c>
      <c r="N8" s="227">
        <v>1</v>
      </c>
      <c r="O8" s="2"/>
      <c r="P8" s="22"/>
      <c r="Q8" s="59" t="s">
        <v>72</v>
      </c>
      <c r="R8" s="220">
        <f>IF($B$81=0,0,(SUMIF($N$6:$N$28,$U8,K$6:K$28)+SUMIF($N$91:$N$118,$U8,K$91:K$118))*$B$83*$H$84*Poor!$B$81/$B$81)</f>
        <v>2481.4068502938544</v>
      </c>
      <c r="S8" s="220">
        <f>IF($B$81=0,0,(SUMIF($N$6:$N$28,$U8,L$6:L$28)+SUMIF($N$91:$N$118,$U8,L$91:L$118))*$I$83*Poor!$B$81/$B$81)</f>
        <v>464.79999999999984</v>
      </c>
      <c r="T8" s="220">
        <f>IF($B$81=0,0,(SUMIF($N$6:$N$28,$U8,M$6:M$28)+SUMIF($N$91:$N$118,$U8,M$91:M$118))*$I$83*Poor!$B$81/$B$81)</f>
        <v>419.99999999999989</v>
      </c>
      <c r="U8" s="221">
        <v>2</v>
      </c>
      <c r="V8" s="184"/>
      <c r="W8" s="115"/>
      <c r="X8" s="124">
        <v>1</v>
      </c>
      <c r="Y8" s="183">
        <f t="shared" si="9"/>
        <v>0.2313780534246575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0.2313780534246575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5.7844513356164376E-2</v>
      </c>
      <c r="AJ8" s="120">
        <f t="shared" si="14"/>
        <v>0.11568902671232875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IF([1]Summ!$A1047="","",[1]Summ!$A1047)</f>
        <v>Beans: kg produced</v>
      </c>
      <c r="B9" s="215">
        <f>IF([1]Summ!E1047="",0,[1]Summ!E1047)</f>
        <v>2.761762920298879E-2</v>
      </c>
      <c r="C9" s="215">
        <f>IF([1]Summ!F1047="",0,[1]Summ!F1047)</f>
        <v>0</v>
      </c>
      <c r="D9" s="24">
        <f t="shared" si="0"/>
        <v>2.761762920298879E-2</v>
      </c>
      <c r="E9" s="26">
        <v>0.2</v>
      </c>
      <c r="F9" s="28">
        <v>8800</v>
      </c>
      <c r="H9" s="24">
        <f t="shared" si="1"/>
        <v>0.2</v>
      </c>
      <c r="I9" s="22">
        <f t="shared" si="2"/>
        <v>5.5235258405977586E-3</v>
      </c>
      <c r="J9" s="24">
        <f t="shared" si="3"/>
        <v>5.5235258405977586E-3</v>
      </c>
      <c r="K9" s="22">
        <f t="shared" si="4"/>
        <v>2.761762920298879E-2</v>
      </c>
      <c r="L9" s="22">
        <f t="shared" si="5"/>
        <v>5.5235258405977586E-3</v>
      </c>
      <c r="M9" s="222">
        <f t="shared" si="6"/>
        <v>5.5235258405977586E-3</v>
      </c>
      <c r="N9" s="227">
        <v>1</v>
      </c>
      <c r="O9" s="2"/>
      <c r="P9" s="22"/>
      <c r="Q9" s="59" t="s">
        <v>73</v>
      </c>
      <c r="R9" s="220">
        <f>IF($B$81=0,0,(SUMIF($N$6:$N$28,$U9,K$6:K$28)+SUMIF($N$91:$N$118,$U9,K$91:K$118))*$B$83*$H$84*Poor!$B$81/$B$81)</f>
        <v>852.70031370716697</v>
      </c>
      <c r="S9" s="220">
        <f>IF($B$81=0,0,(SUMIF($N$6:$N$28,$U9,L$6:L$28)+SUMIF($N$91:$N$118,$U9,L$91:L$118))*$I$83*Poor!$B$81/$B$81)</f>
        <v>188.24371013301172</v>
      </c>
      <c r="T9" s="220">
        <f>IF($B$81=0,0,(SUMIF($N$6:$N$28,$U9,M$6:M$28)+SUMIF($N$91:$N$118,$U9,M$91:M$118))*$I$83*Poor!$B$81/$B$81)</f>
        <v>188.24371013301172</v>
      </c>
      <c r="U9" s="221">
        <v>3</v>
      </c>
      <c r="V9" s="56"/>
      <c r="W9" s="115"/>
      <c r="X9" s="124">
        <v>1</v>
      </c>
      <c r="Y9" s="183">
        <f t="shared" si="9"/>
        <v>2.2094103362391034E-2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2.2094103362391034E-2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5.5235258405977586E-3</v>
      </c>
      <c r="AJ9" s="120">
        <f t="shared" si="14"/>
        <v>1.1047051681195517E-2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IF([1]Summ!$A1048="","",[1]Summ!$A1048)</f>
        <v>potatoes: kg produced</v>
      </c>
      <c r="B10" s="215">
        <f>IF([1]Summ!E1048="",0,[1]Summ!E1048)</f>
        <v>9.3068966376089659E-3</v>
      </c>
      <c r="C10" s="215">
        <f>IF([1]Summ!F1048="",0,[1]Summ!F1048)</f>
        <v>2.1898580323785805E-2</v>
      </c>
      <c r="D10" s="24">
        <f t="shared" si="0"/>
        <v>3.1205476961394772E-2</v>
      </c>
      <c r="E10" s="26">
        <v>0.2</v>
      </c>
      <c r="H10" s="24">
        <f t="shared" si="1"/>
        <v>0.2</v>
      </c>
      <c r="I10" s="22">
        <f t="shared" si="2"/>
        <v>6.2410953922789544E-3</v>
      </c>
      <c r="J10" s="24">
        <f t="shared" si="3"/>
        <v>6.2410953922789544E-3</v>
      </c>
      <c r="K10" s="22">
        <f t="shared" si="4"/>
        <v>9.3068966376089659E-3</v>
      </c>
      <c r="L10" s="22">
        <f t="shared" si="5"/>
        <v>1.8613793275217934E-3</v>
      </c>
      <c r="M10" s="222">
        <f t="shared" si="6"/>
        <v>6.2410953922789544E-3</v>
      </c>
      <c r="N10" s="227">
        <v>1</v>
      </c>
      <c r="O10" s="2"/>
      <c r="P10" s="22"/>
      <c r="Q10" s="59" t="s">
        <v>74</v>
      </c>
      <c r="R10" s="220">
        <f>IF($B$81=0,0,(SUMIF($N$6:$N$28,$U10,K$6:K$28)+SUMIF($N$91:$N$118,$U10,K$91:K$118))*$B$83*$H$84*Poor!$B$81/$B$81)</f>
        <v>0</v>
      </c>
      <c r="S10" s="220">
        <f>IF($B$81=0,0,(SUMIF($N$6:$N$28,$U10,L$6:L$28)+SUMIF($N$91:$N$118,$U10,L$91:L$118))*$I$83*Poor!$B$81/$B$81)</f>
        <v>0</v>
      </c>
      <c r="T10" s="220">
        <f>IF($B$81=0,0,(SUMIF($N$6:$N$28,$U10,M$6:M$28)+SUMIF($N$91:$N$118,$U10,M$91:M$118))*$I$83*Poor!$B$81/$B$81)</f>
        <v>0</v>
      </c>
      <c r="U10" s="221">
        <v>4</v>
      </c>
      <c r="V10" s="56"/>
      <c r="W10" s="115"/>
      <c r="X10" s="124">
        <v>1</v>
      </c>
      <c r="Y10" s="183">
        <f t="shared" si="9"/>
        <v>2.4964381569115818E-2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2.4964381569115818E-2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6.2410953922789544E-3</v>
      </c>
      <c r="AJ10" s="120">
        <f t="shared" si="14"/>
        <v>1.2482190784557909E-2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IF([1]Summ!$A1049="","",[1]Summ!$A1049)</f>
        <v/>
      </c>
      <c r="B11" s="215">
        <f>IF([1]Summ!E1049="",0,[1]Summ!E1049)</f>
        <v>0</v>
      </c>
      <c r="C11" s="215">
        <f>IF([1]Summ!F1049="",0,[1]Summ!F1049)</f>
        <v>0</v>
      </c>
      <c r="D11" s="24">
        <f t="shared" si="0"/>
        <v>0</v>
      </c>
      <c r="E11" s="26"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2">
        <f t="shared" si="6"/>
        <v>0</v>
      </c>
      <c r="N11" s="227"/>
      <c r="O11" s="2"/>
      <c r="P11" s="22"/>
      <c r="Q11" s="59" t="s">
        <v>75</v>
      </c>
      <c r="R11" s="220">
        <f>IF($B$81=0,0,(SUMIF($N$6:$N$28,$U11,K$6:K$28)+SUMIF($N$91:$N$118,$U11,K$91:K$118))*$B$83*$H$84*Poor!$B$81/$B$81)</f>
        <v>14574.528186966918</v>
      </c>
      <c r="S11" s="220">
        <f>IF($B$81=0,0,(SUMIF($N$6:$N$28,$U11,L$6:L$28)+SUMIF($N$91:$N$118,$U11,L$91:L$118))*$I$83*Poor!$B$81/$B$81)</f>
        <v>5752.5</v>
      </c>
      <c r="T11" s="220">
        <f>IF($B$81=0,0,(SUMIF($N$6:$N$28,$U11,M$6:M$28)+SUMIF($N$91:$N$118,$U11,M$91:M$118))*$I$83*Poor!$B$81/$B$81)</f>
        <v>4277.5</v>
      </c>
      <c r="U11" s="221">
        <v>5</v>
      </c>
      <c r="V11" s="56"/>
      <c r="W11" s="115"/>
      <c r="X11" s="124">
        <v>1</v>
      </c>
      <c r="Y11" s="183">
        <f t="shared" si="9"/>
        <v>0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>
        <f t="shared" si="13"/>
        <v>0</v>
      </c>
      <c r="AJ11" s="120">
        <f t="shared" si="14"/>
        <v>0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IF([1]Summ!$A1050="","",[1]Summ!$A1050)</f>
        <v/>
      </c>
      <c r="B12" s="215">
        <f>IF([1]Summ!E1050="",0,[1]Summ!E1050)</f>
        <v>0</v>
      </c>
      <c r="C12" s="215">
        <f>IF([1]Summ!F1050="",0,[1]Summ!F1050)</f>
        <v>0</v>
      </c>
      <c r="D12" s="24">
        <f t="shared" si="0"/>
        <v>0</v>
      </c>
      <c r="E12" s="26"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2">
        <f t="shared" si="6"/>
        <v>0</v>
      </c>
      <c r="N12" s="227"/>
      <c r="O12" s="2"/>
      <c r="P12" s="22"/>
      <c r="Q12" s="126" t="s">
        <v>124</v>
      </c>
      <c r="R12" s="220">
        <f>IF($B$81=0,0,(SUMIF($N$6:$N$28,$U12,K$6:K$28)+SUMIF($N$91:$N$118,$U12,K$91:K$118))*$B$83*$H$84*Poor!$B$81/$B$81)</f>
        <v>0</v>
      </c>
      <c r="S12" s="220">
        <f>IF($B$81=0,0,(SUMIF($N$6:$N$28,$U12,L$6:L$28)+SUMIF($N$91:$N$118,$U12,L$91:L$118))*$I$83*Poor!$B$81/$B$81)</f>
        <v>0</v>
      </c>
      <c r="T12" s="220">
        <f>IF($B$81=0,0,(SUMIF($N$6:$N$28,$U12,M$6:M$28)+SUMIF($N$91:$N$118,$U12,M$91:M$118))*$I$83*Poor!$B$81/$B$81)</f>
        <v>0</v>
      </c>
      <c r="U12" s="221">
        <v>6</v>
      </c>
      <c r="V12" s="56"/>
      <c r="W12" s="117"/>
      <c r="X12" s="118"/>
      <c r="Y12" s="183">
        <f t="shared" si="9"/>
        <v>0</v>
      </c>
      <c r="Z12" s="116">
        <v>0</v>
      </c>
      <c r="AA12" s="121">
        <f>$M12*Z12*4</f>
        <v>0</v>
      </c>
      <c r="AB12" s="116">
        <v>0</v>
      </c>
      <c r="AC12" s="121">
        <f>$M12*AB12*4</f>
        <v>0</v>
      </c>
      <c r="AD12" s="116"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IF([1]Summ!$A1051="","",[1]Summ!$A1051)</f>
        <v/>
      </c>
      <c r="B13" s="215">
        <f>IF([1]Summ!E1051="",0,[1]Summ!E1051)</f>
        <v>0</v>
      </c>
      <c r="C13" s="215">
        <f>IF([1]Summ!F1051="",0,[1]Summ!F1051)</f>
        <v>0</v>
      </c>
      <c r="D13" s="24">
        <f t="shared" si="0"/>
        <v>0</v>
      </c>
      <c r="E13" s="26"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3">
        <f t="shared" si="6"/>
        <v>0</v>
      </c>
      <c r="N13" s="227"/>
      <c r="O13" s="2"/>
      <c r="P13" s="22"/>
      <c r="Q13" s="59" t="s">
        <v>76</v>
      </c>
      <c r="R13" s="220">
        <f>IF($B$81=0,0,(SUMIF($N$6:$N$28,$U13,K$6:K$28)+SUMIF($N$91:$N$118,$U13,K$91:K$118))*$B$83*$H$84*Poor!$B$81/$B$81)</f>
        <v>7414.3240828057342</v>
      </c>
      <c r="S13" s="220">
        <f>IF($B$81=0,0,(SUMIF($N$6:$N$28,$U13,L$6:L$28)+SUMIF($N$91:$N$118,$U13,L$91:L$118))*$I$83*Poor!$B$81/$B$81)</f>
        <v>2752.8000000000006</v>
      </c>
      <c r="T13" s="220">
        <f>IF($B$81=0,0,(SUMIF($N$6:$N$28,$U13,M$6:M$28)+SUMIF($N$91:$N$118,$U13,M$91:M$118))*$I$83*Poor!$B$81/$B$81)</f>
        <v>2752.8000000000006</v>
      </c>
      <c r="U13" s="221">
        <v>7</v>
      </c>
      <c r="V13" s="56"/>
      <c r="W13" s="110"/>
      <c r="X13" s="118"/>
      <c r="Y13" s="183">
        <f t="shared" si="9"/>
        <v>0</v>
      </c>
      <c r="Z13" s="116">
        <v>1</v>
      </c>
      <c r="AA13" s="121">
        <f>$M13*Z13*4</f>
        <v>0</v>
      </c>
      <c r="AB13" s="116">
        <v>0</v>
      </c>
      <c r="AC13" s="121">
        <f>$M13*AB13*4</f>
        <v>0</v>
      </c>
      <c r="AD13" s="116"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IF([1]Summ!$A1052="","",[1]Summ!$A1052)</f>
        <v/>
      </c>
      <c r="B14" s="215">
        <f>IF([1]Summ!E1052="",0,[1]Summ!E1052)</f>
        <v>0</v>
      </c>
      <c r="C14" s="215">
        <f>IF([1]Summ!F1052="",0,[1]Summ!F1052)</f>
        <v>0</v>
      </c>
      <c r="D14" s="24">
        <f t="shared" si="0"/>
        <v>0</v>
      </c>
      <c r="E14" s="26"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3">
        <f t="shared" si="6"/>
        <v>0</v>
      </c>
      <c r="N14" s="227"/>
      <c r="O14" s="2"/>
      <c r="P14" s="22"/>
      <c r="Q14" s="126" t="s">
        <v>77</v>
      </c>
      <c r="R14" s="220">
        <f>IF($B$81=0,0,(SUMIF($N$6:$N$28,$U14,K$6:K$28)+SUMIF($N$91:$N$118,$U14,K$91:K$118))*$B$83*$H$84*Poor!$B$81/$B$81)</f>
        <v>0</v>
      </c>
      <c r="S14" s="220">
        <f>IF($B$81=0,0,(SUMIF($N$6:$N$28,$U14,L$6:L$28)+SUMIF($N$91:$N$118,$U14,L$91:L$118))*$I$83*Poor!$B$81/$B$81)</f>
        <v>0</v>
      </c>
      <c r="T14" s="220">
        <f>IF($B$81=0,0,(SUMIF($N$6:$N$28,$U14,M$6:M$28)+SUMIF($N$91:$N$118,$U14,M$91:M$118))*$I$83*Poor!$B$81/$B$81)</f>
        <v>0</v>
      </c>
      <c r="U14" s="221">
        <v>8</v>
      </c>
      <c r="V14" s="56"/>
      <c r="W14" s="110"/>
      <c r="X14" s="118"/>
      <c r="Y14" s="183">
        <f>M14*4</f>
        <v>0</v>
      </c>
      <c r="Z14" s="116">
        <v>0</v>
      </c>
      <c r="AA14" s="121">
        <f t="shared" ref="AA14:AA29" si="16">$M14*Z14*4</f>
        <v>0</v>
      </c>
      <c r="AB14" s="116">
        <v>1</v>
      </c>
      <c r="AC14" s="121">
        <f t="shared" si="7"/>
        <v>0</v>
      </c>
      <c r="AD14" s="116"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IF([1]Summ!$A1053="","",[1]Summ!$A1053)</f>
        <v/>
      </c>
      <c r="B15" s="215">
        <f>IF([1]Summ!E1053="",0,[1]Summ!E1053)</f>
        <v>0</v>
      </c>
      <c r="C15" s="215">
        <f>IF([1]Summ!F1053="",0,[1]Summ!F1053)</f>
        <v>0</v>
      </c>
      <c r="D15" s="24">
        <f t="shared" si="0"/>
        <v>0</v>
      </c>
      <c r="E15" s="26"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4">
        <f t="shared" si="6"/>
        <v>0</v>
      </c>
      <c r="N15" s="227"/>
      <c r="O15" s="2"/>
      <c r="P15" s="22"/>
      <c r="Q15" s="59" t="s">
        <v>127</v>
      </c>
      <c r="R15" s="220">
        <f>IF($B$81=0,0,(SUMIF($N$6:$N$28,$U15,K$6:K$28)+SUMIF($N$91:$N$118,$U15,K$91:K$118))*$B$83*$H$84*Poor!$B$81/$B$81)</f>
        <v>22296.785890953695</v>
      </c>
      <c r="S15" s="220">
        <f>IF($B$81=0,0,(SUMIF($N$6:$N$28,$U15,L$6:L$28)+SUMIF($N$91:$N$118,$U15,L$91:L$118))*$I$83*Poor!$B$81/$B$81)</f>
        <v>17600.879999999997</v>
      </c>
      <c r="T15" s="220">
        <f>IF($B$81=0,0,(SUMIF($N$6:$N$28,$U15,M$6:M$28)+SUMIF($N$91:$N$118,$U15,M$91:M$118))*$I$83*Poor!$B$81/$B$81)</f>
        <v>17600.879999999997</v>
      </c>
      <c r="U15" s="221">
        <v>9</v>
      </c>
      <c r="V15" s="56"/>
      <c r="W15" s="110"/>
      <c r="X15" s="118"/>
      <c r="Y15" s="183">
        <f t="shared" si="9"/>
        <v>0</v>
      </c>
      <c r="Z15" s="116">
        <v>0.25</v>
      </c>
      <c r="AA15" s="121">
        <f t="shared" si="16"/>
        <v>0</v>
      </c>
      <c r="AB15" s="116">
        <v>0.25</v>
      </c>
      <c r="AC15" s="121">
        <f t="shared" si="7"/>
        <v>0</v>
      </c>
      <c r="AD15" s="116"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IF([1]Summ!$A1054="","",[1]Summ!$A1054)</f>
        <v/>
      </c>
      <c r="B16" s="215">
        <f>IF([1]Summ!E1054="",0,[1]Summ!E1054)</f>
        <v>0</v>
      </c>
      <c r="C16" s="215">
        <f>IF([1]Summ!F1054="",0,[1]Summ!F1054)</f>
        <v>0</v>
      </c>
      <c r="D16" s="24">
        <f t="shared" si="0"/>
        <v>0</v>
      </c>
      <c r="E16" s="26"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2">
        <f t="shared" si="6"/>
        <v>0</v>
      </c>
      <c r="N16" s="227"/>
      <c r="O16" s="2"/>
      <c r="P16" s="22"/>
      <c r="Q16" s="126" t="s">
        <v>78</v>
      </c>
      <c r="R16" s="220">
        <f>IF($B$81=0,0,(SUMIF($N$6:$N$28,$U16,K$6:K$28)+SUMIF($N$91:$N$118,$U16,K$91:K$118))*$B$83*$H$84*Poor!$B$81/$B$81)</f>
        <v>0</v>
      </c>
      <c r="S16" s="220">
        <f>IF($B$81=0,0,(SUMIF($N$6:$N$28,$U16,L$6:L$28)+SUMIF($N$91:$N$118,$U16,L$91:L$118))*$I$83*Poor!$B$81/$B$81)</f>
        <v>0</v>
      </c>
      <c r="T16" s="220">
        <f>IF($B$81=0,0,(SUMIF($N$6:$N$28,$U16,M$6:M$28)+SUMIF($N$91:$N$118,$U16,M$91:M$118))*$I$83*Poor!$B$81/$B$81)</f>
        <v>0</v>
      </c>
      <c r="U16" s="221">
        <v>10</v>
      </c>
      <c r="V16" s="56"/>
      <c r="W16" s="110"/>
      <c r="X16" s="118"/>
      <c r="Y16" s="183">
        <f t="shared" si="9"/>
        <v>0</v>
      </c>
      <c r="Z16" s="116">
        <v>0</v>
      </c>
      <c r="AA16" s="121">
        <f t="shared" si="16"/>
        <v>0</v>
      </c>
      <c r="AB16" s="116">
        <v>0</v>
      </c>
      <c r="AC16" s="121">
        <f t="shared" si="7"/>
        <v>0</v>
      </c>
      <c r="AD16" s="116"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3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IF([1]Summ!$A1055="","",[1]Summ!$A1055)</f>
        <v/>
      </c>
      <c r="B17" s="215">
        <f>IF([1]Summ!E1055="",0,[1]Summ!E1055)</f>
        <v>0</v>
      </c>
      <c r="C17" s="215">
        <f>IF([1]Summ!F1055="",0,[1]Summ!F1055)</f>
        <v>0</v>
      </c>
      <c r="D17" s="24">
        <f>SUM(B17,C17)</f>
        <v>0</v>
      </c>
      <c r="E17" s="26"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3">
        <f t="shared" si="6"/>
        <v>0</v>
      </c>
      <c r="N17" s="227"/>
      <c r="O17" s="2"/>
      <c r="P17" s="22"/>
      <c r="Q17" s="126" t="s">
        <v>125</v>
      </c>
      <c r="R17" s="220">
        <f>IF($B$81=0,0,(SUMIF($N$6:$N$28,$U17,K$6:K$28)+SUMIF($N$91:$N$118,$U17,K$91:K$118))*$B$83*$H$84*Poor!$B$81/$B$81)</f>
        <v>0</v>
      </c>
      <c r="S17" s="220">
        <f>IF($B$81=0,0,(SUMIF($N$6:$N$28,$U17,L$6:L$28)+SUMIF($N$91:$N$118,$U17,L$91:L$118))*$I$83*Poor!$B$81/$B$81)</f>
        <v>0</v>
      </c>
      <c r="T17" s="220">
        <f>IF($B$81=0,0,(SUMIF($N$6:$N$28,$U17,M$6:M$28)+SUMIF($N$91:$N$118,$U17,M$91:M$118))*$I$83*Poor!$B$81/$B$81)</f>
        <v>0</v>
      </c>
      <c r="U17" s="221">
        <v>11</v>
      </c>
      <c r="V17" s="56"/>
      <c r="W17" s="110"/>
      <c r="X17" s="118"/>
      <c r="Y17" s="183">
        <f t="shared" si="9"/>
        <v>0</v>
      </c>
      <c r="Z17" s="116">
        <v>0.29409999999999997</v>
      </c>
      <c r="AA17" s="121">
        <f t="shared" si="16"/>
        <v>0</v>
      </c>
      <c r="AB17" s="116">
        <v>0.17649999999999999</v>
      </c>
      <c r="AC17" s="121">
        <f t="shared" si="7"/>
        <v>0</v>
      </c>
      <c r="AD17" s="116"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IF([1]Summ!$A1056="","",[1]Summ!$A1056)</f>
        <v/>
      </c>
      <c r="B18" s="215">
        <f>IF([1]Summ!E1056="",0,[1]Summ!E1056)</f>
        <v>0</v>
      </c>
      <c r="C18" s="215">
        <f>IF([1]Summ!F1056="",0,[1]Summ!F1056)</f>
        <v>0</v>
      </c>
      <c r="D18" s="24">
        <f t="shared" ref="D18:D20" si="18">SUM(B18,C18)</f>
        <v>0</v>
      </c>
      <c r="E18" s="26">
        <v>1</v>
      </c>
      <c r="F18" s="22"/>
      <c r="H18" s="24">
        <f t="shared" ref="H18:H20" si="19">(E18*F$7/F$9)</f>
        <v>1</v>
      </c>
      <c r="I18" s="22">
        <f t="shared" ref="I18:I20" si="20">(D18*H18)</f>
        <v>0</v>
      </c>
      <c r="J18" s="24">
        <f t="shared" si="17"/>
        <v>0</v>
      </c>
      <c r="K18" s="22">
        <f t="shared" ref="K18:K20" si="21">B18</f>
        <v>0</v>
      </c>
      <c r="L18" s="22">
        <f t="shared" ref="L18:L20" si="22">IF(K18="","",K18*H18)</f>
        <v>0</v>
      </c>
      <c r="M18" s="223">
        <f t="shared" ref="M18:M20" si="23">J18</f>
        <v>0</v>
      </c>
      <c r="N18" s="227"/>
      <c r="O18" s="2"/>
      <c r="P18" s="22"/>
      <c r="Q18" s="59" t="s">
        <v>79</v>
      </c>
      <c r="R18" s="220">
        <f>IF($B$81=0,0,(SUMIF($N$6:$N$28,$U18,K$6:K$28)+SUMIF($N$91:$N$118,$U18,K$91:K$118))*$B$83*$H$84*Poor!$B$81/$B$81)</f>
        <v>2094.7120172507839</v>
      </c>
      <c r="S18" s="220">
        <f>IF($B$81=0,0,(SUMIF($N$6:$N$28,$U18,L$6:L$28)+SUMIF($N$91:$N$118,$U18,L$91:L$118))*$I$83*Poor!$B$81/$B$81)</f>
        <v>2312.1626405482261</v>
      </c>
      <c r="T18" s="220">
        <f>IF($B$81=0,0,(SUMIF($N$6:$N$28,$U18,M$6:M$28)+SUMIF($N$91:$N$118,$U18,M$91:M$118))*$I$83*Poor!$B$81/$B$81)</f>
        <v>2312.1626405482261</v>
      </c>
      <c r="U18" s="221">
        <v>12</v>
      </c>
      <c r="V18" s="56"/>
      <c r="W18" s="110"/>
      <c r="X18" s="118"/>
      <c r="Y18" s="183">
        <f t="shared" ref="Y18:Y20" si="24">M18*4</f>
        <v>0</v>
      </c>
      <c r="Z18" s="116">
        <v>1.2941</v>
      </c>
      <c r="AA18" s="121">
        <f t="shared" ref="AA18:AA20" si="25">$M18*Z18*4</f>
        <v>0</v>
      </c>
      <c r="AB18" s="116">
        <v>1.1765000000000001</v>
      </c>
      <c r="AC18" s="121">
        <f t="shared" ref="AC18:AC20" si="26">$M18*AB18*4</f>
        <v>0</v>
      </c>
      <c r="AD18" s="116">
        <v>1.2353000000000001</v>
      </c>
      <c r="AE18" s="121">
        <f t="shared" ref="AE18:AE20" si="27">$M18*AD18*4</f>
        <v>0</v>
      </c>
      <c r="AF18" s="122">
        <f t="shared" ref="AF18:AF20" si="28">1-SUM(Z18,AB18,AD18)</f>
        <v>-2.7059000000000002</v>
      </c>
      <c r="AG18" s="121">
        <f t="shared" ref="AG18:AG20" si="29">$M18*AF18*4</f>
        <v>0</v>
      </c>
      <c r="AH18" s="123">
        <f t="shared" ref="AH18:AH20" si="30">SUM(Z18,AB18,AD18,AF18)</f>
        <v>1</v>
      </c>
      <c r="AI18" s="183">
        <f t="shared" ref="AI18:AI20" si="31">SUM(AA18,AC18,AE18,AG18)/4</f>
        <v>0</v>
      </c>
      <c r="AJ18" s="120">
        <f t="shared" ref="AJ18:AJ20" si="32">(AA18+AC18)/2</f>
        <v>0</v>
      </c>
      <c r="AK18" s="119">
        <f t="shared" ref="AK18:AK20" si="33">(AE18+AG18)/2</f>
        <v>0</v>
      </c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IF([1]Summ!$A1057="","",[1]Summ!$A1057)</f>
        <v/>
      </c>
      <c r="B19" s="215">
        <f>IF([1]Summ!E1057="",0,[1]Summ!E1057)</f>
        <v>0</v>
      </c>
      <c r="C19" s="215">
        <f>IF([1]Summ!F1057="",0,[1]Summ!F1057)</f>
        <v>0</v>
      </c>
      <c r="D19" s="24">
        <f t="shared" si="18"/>
        <v>0</v>
      </c>
      <c r="E19" s="26"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3">
        <f t="shared" si="23"/>
        <v>0</v>
      </c>
      <c r="N19" s="227"/>
      <c r="O19" s="2"/>
      <c r="P19" s="22"/>
      <c r="Q19" s="59" t="s">
        <v>80</v>
      </c>
      <c r="R19" s="220">
        <f>IF($B$81=0,0,(SUMIF($N$6:$N$28,$U19,K$6:K$28)+SUMIF($N$91:$N$118,$U19,K$91:K$118))*$B$83*$H$84*Poor!$B$81/$B$81)</f>
        <v>0</v>
      </c>
      <c r="S19" s="220">
        <f>IF($B$81=0,0,(SUMIF($N$6:$N$28,$U19,L$6:L$28)+SUMIF($N$91:$N$118,$U19,L$91:L$118))*$I$83*Poor!$B$81/$B$81)</f>
        <v>0</v>
      </c>
      <c r="T19" s="220">
        <f>IF($B$81=0,0,(SUMIF($N$6:$N$28,$U19,M$6:M$28)+SUMIF($N$91:$N$118,$U19,M$91:M$118))*$I$83*Poor!$B$81/$B$81)</f>
        <v>0</v>
      </c>
      <c r="U19" s="221">
        <v>13</v>
      </c>
      <c r="V19" s="56"/>
      <c r="W19" s="110"/>
      <c r="X19" s="118"/>
      <c r="Y19" s="183">
        <f t="shared" si="24"/>
        <v>0</v>
      </c>
      <c r="Z19" s="116">
        <v>2.2940999999999998</v>
      </c>
      <c r="AA19" s="121">
        <f t="shared" si="25"/>
        <v>0</v>
      </c>
      <c r="AB19" s="116">
        <v>2.1764999999999999</v>
      </c>
      <c r="AC19" s="121">
        <f t="shared" si="26"/>
        <v>0</v>
      </c>
      <c r="AD19" s="116">
        <v>2.2353000000000001</v>
      </c>
      <c r="AE19" s="121">
        <f t="shared" si="27"/>
        <v>0</v>
      </c>
      <c r="AF19" s="122">
        <f t="shared" si="28"/>
        <v>-5.7058999999999997</v>
      </c>
      <c r="AG19" s="121">
        <f t="shared" si="29"/>
        <v>0</v>
      </c>
      <c r="AH19" s="123">
        <f t="shared" si="30"/>
        <v>1</v>
      </c>
      <c r="AI19" s="183">
        <f t="shared" si="31"/>
        <v>0</v>
      </c>
      <c r="AJ19" s="120">
        <f t="shared" si="32"/>
        <v>0</v>
      </c>
      <c r="AK19" s="119">
        <f t="shared" si="33"/>
        <v>0</v>
      </c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IF([1]Summ!$A1058="","",[1]Summ!$A1058)</f>
        <v/>
      </c>
      <c r="B20" s="215">
        <f>IF([1]Summ!E1058="",0,[1]Summ!E1058)</f>
        <v>0</v>
      </c>
      <c r="C20" s="215">
        <f>IF([1]Summ!F1058="",0,[1]Summ!F1058)</f>
        <v>0</v>
      </c>
      <c r="D20" s="24">
        <f t="shared" si="18"/>
        <v>0</v>
      </c>
      <c r="E20" s="26"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3">
        <f t="shared" si="23"/>
        <v>0</v>
      </c>
      <c r="N20" s="227"/>
      <c r="O20" s="2"/>
      <c r="P20" s="22"/>
      <c r="Q20" s="59" t="s">
        <v>81</v>
      </c>
      <c r="R20" s="220">
        <f>IF($B$81=0,0,(SUMIF($N$6:$N$28,$U20,K$6:K$28)+SUMIF($N$91:$N$118,$U20,K$91:K$118))*$B$83*$H$84*Poor!$B$81/$B$81)</f>
        <v>32916.011351488363</v>
      </c>
      <c r="S20" s="220">
        <f>IF($B$81=0,0,(SUMIF($N$6:$N$28,$U20,L$6:L$28)+SUMIF($N$91:$N$118,$U20,L$91:L$118))*$I$83*Poor!$B$81/$B$81)</f>
        <v>0</v>
      </c>
      <c r="T20" s="220">
        <f>IF($B$81=0,0,(SUMIF($N$6:$N$28,$U20,M$6:M$28)+SUMIF($N$91:$N$118,$U20,M$91:M$118))*$I$83*Poor!$B$81/$B$81)</f>
        <v>0</v>
      </c>
      <c r="U20" s="221">
        <v>14</v>
      </c>
      <c r="V20" s="56"/>
      <c r="W20" s="110"/>
      <c r="X20" s="118"/>
      <c r="Y20" s="183">
        <f t="shared" si="24"/>
        <v>0</v>
      </c>
      <c r="Z20" s="116">
        <v>3.2940999999999998</v>
      </c>
      <c r="AA20" s="121">
        <f t="shared" si="25"/>
        <v>0</v>
      </c>
      <c r="AB20" s="116">
        <v>3.1764999999999999</v>
      </c>
      <c r="AC20" s="121">
        <f t="shared" si="26"/>
        <v>0</v>
      </c>
      <c r="AD20" s="116">
        <v>3.2353000000000001</v>
      </c>
      <c r="AE20" s="121">
        <f t="shared" si="27"/>
        <v>0</v>
      </c>
      <c r="AF20" s="122">
        <f t="shared" si="28"/>
        <v>-8.7058999999999997</v>
      </c>
      <c r="AG20" s="121">
        <f t="shared" si="29"/>
        <v>0</v>
      </c>
      <c r="AH20" s="123">
        <f t="shared" si="30"/>
        <v>1</v>
      </c>
      <c r="AI20" s="183">
        <f t="shared" si="31"/>
        <v>0</v>
      </c>
      <c r="AJ20" s="120">
        <f t="shared" si="32"/>
        <v>0</v>
      </c>
      <c r="AK20" s="119">
        <f t="shared" si="33"/>
        <v>0</v>
      </c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IF([1]Summ!$A1059="","",[1]Summ!$A1059)</f>
        <v/>
      </c>
      <c r="B21" s="215">
        <f>IF([1]Summ!E1059="",0,[1]Summ!E1059)</f>
        <v>0</v>
      </c>
      <c r="C21" s="215">
        <f>IF([1]Summ!F1059="",0,[1]Summ!F1059)</f>
        <v>0</v>
      </c>
      <c r="D21" s="24">
        <f t="shared" ref="D21:D25" si="34">SUM(B21,C21)</f>
        <v>0</v>
      </c>
      <c r="E21" s="26">
        <v>1</v>
      </c>
      <c r="F21" s="22"/>
      <c r="H21" s="24">
        <f t="shared" ref="H21:H25" si="35">(E21*F$7/F$9)</f>
        <v>1</v>
      </c>
      <c r="I21" s="22">
        <f t="shared" ref="I21:I25" si="36">(D21*H21)</f>
        <v>0</v>
      </c>
      <c r="J21" s="24">
        <f t="shared" si="17"/>
        <v>0</v>
      </c>
      <c r="K21" s="22">
        <f t="shared" ref="K21:K25" si="37">B21</f>
        <v>0</v>
      </c>
      <c r="L21" s="22">
        <f t="shared" ref="L21:L25" si="38">IF(K21="","",K21*H21)</f>
        <v>0</v>
      </c>
      <c r="M21" s="223">
        <f t="shared" ref="M21:M25" si="39">J21</f>
        <v>0</v>
      </c>
      <c r="N21" s="227"/>
      <c r="O21" s="2"/>
      <c r="P21" s="22"/>
      <c r="Q21" s="59" t="s">
        <v>82</v>
      </c>
      <c r="R21" s="220">
        <f>IF($B$81=0,0,(SUMIF($N$6:$N$28,$U21,K$6:K$28)+SUMIF($N$91:$N$118,$U21,K$91:K$118))*$B$83*$H$84*Poor!$B$81/$B$81)</f>
        <v>0</v>
      </c>
      <c r="S21" s="220">
        <f>IF($B$81=0,0,(SUMIF($N$6:$N$28,$U21,L$6:L$28)+SUMIF($N$91:$N$118,$U21,L$91:L$118))*$I$83*Poor!$B$81/$B$81)</f>
        <v>0</v>
      </c>
      <c r="T21" s="220">
        <f>IF($B$81=0,0,(SUMIF($N$6:$N$28,$U21,M$6:M$28)+SUMIF($N$91:$N$118,$U21,M$91:M$118))*$I$83*Poor!$B$81/$B$81)</f>
        <v>0</v>
      </c>
      <c r="U21" s="221">
        <v>15</v>
      </c>
      <c r="V21" s="56"/>
      <c r="W21" s="110"/>
      <c r="X21" s="118"/>
      <c r="Y21" s="183">
        <f t="shared" ref="Y21:Y25" si="40">M21*4</f>
        <v>0</v>
      </c>
      <c r="Z21" s="116">
        <v>4.2941000000000003</v>
      </c>
      <c r="AA21" s="121">
        <f t="shared" ref="AA21:AA25" si="41">$M21*Z21*4</f>
        <v>0</v>
      </c>
      <c r="AB21" s="116">
        <v>4.1764999999999999</v>
      </c>
      <c r="AC21" s="121">
        <f t="shared" ref="AC21:AC25" si="42">$M21*AB21*4</f>
        <v>0</v>
      </c>
      <c r="AD21" s="116">
        <v>4.2352999999999996</v>
      </c>
      <c r="AE21" s="121">
        <f t="shared" ref="AE21:AE25" si="43">$M21*AD21*4</f>
        <v>0</v>
      </c>
      <c r="AF21" s="122">
        <f t="shared" ref="AF21:AF25" si="44">1-SUM(Z21,AB21,AD21)</f>
        <v>-11.7059</v>
      </c>
      <c r="AG21" s="121">
        <f t="shared" ref="AG21:AG25" si="45">$M21*AF21*4</f>
        <v>0</v>
      </c>
      <c r="AH21" s="123">
        <f t="shared" ref="AH21:AH25" si="46">SUM(Z21,AB21,AD21,AF21)</f>
        <v>1</v>
      </c>
      <c r="AI21" s="183">
        <f t="shared" ref="AI21:AI25" si="47">SUM(AA21,AC21,AE21,AG21)/4</f>
        <v>0</v>
      </c>
      <c r="AJ21" s="120">
        <f t="shared" ref="AJ21:AJ25" si="48">(AA21+AC21)/2</f>
        <v>0</v>
      </c>
      <c r="AK21" s="119">
        <f t="shared" ref="AK21:AK25" si="49">(AE21+AG21)/2</f>
        <v>0</v>
      </c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IF([1]Summ!$A1060="","",[1]Summ!$A1060)</f>
        <v/>
      </c>
      <c r="B22" s="215">
        <f>IF([1]Summ!E1060="",0,[1]Summ!E1060)</f>
        <v>0</v>
      </c>
      <c r="C22" s="215">
        <f>IF([1]Summ!F1060="",0,[1]Summ!F1060)</f>
        <v>0</v>
      </c>
      <c r="D22" s="24">
        <f t="shared" si="34"/>
        <v>0</v>
      </c>
      <c r="E22" s="26">
        <v>1</v>
      </c>
      <c r="F22" s="22"/>
      <c r="H22" s="24">
        <f t="shared" si="35"/>
        <v>1</v>
      </c>
      <c r="I22" s="22">
        <f t="shared" si="36"/>
        <v>0</v>
      </c>
      <c r="J22" s="24">
        <f t="shared" si="17"/>
        <v>0</v>
      </c>
      <c r="K22" s="22">
        <f t="shared" si="37"/>
        <v>0</v>
      </c>
      <c r="L22" s="22">
        <f t="shared" si="38"/>
        <v>0</v>
      </c>
      <c r="M22" s="223">
        <f t="shared" si="39"/>
        <v>0</v>
      </c>
      <c r="N22" s="227"/>
      <c r="O22" s="2"/>
      <c r="P22" s="22"/>
      <c r="Q22" s="59" t="s">
        <v>83</v>
      </c>
      <c r="R22" s="220">
        <f>IF($B$81=0,0,(SUMIF($N$6:$N$28,$U22,K$6:K$28)+SUMIF($N$91:$N$118,$U22,K$91:K$118))*$B$83*$H$84*Poor!$B$81/$B$81)</f>
        <v>0</v>
      </c>
      <c r="S22" s="220">
        <f>IF($B$81=0,0,(SUMIF($N$6:$N$28,$U22,L$6:L$28)+SUMIF($N$91:$N$118,$U22,L$91:L$118))*$I$83*Poor!$B$81/$B$81)</f>
        <v>0</v>
      </c>
      <c r="T22" s="220">
        <f>IF($B$81=0,0,(SUMIF($N$6:$N$28,$U22,M$6:M$28)+SUMIF($N$91:$N$118,$U22,M$91:M$118))*$I$83*Poor!$B$81/$B$81)</f>
        <v>0</v>
      </c>
      <c r="U22" s="221">
        <v>16</v>
      </c>
      <c r="V22" s="56"/>
      <c r="W22" s="110"/>
      <c r="X22" s="118"/>
      <c r="Y22" s="183">
        <f t="shared" si="40"/>
        <v>0</v>
      </c>
      <c r="Z22" s="116">
        <v>5.2941000000000003</v>
      </c>
      <c r="AA22" s="121">
        <f t="shared" si="41"/>
        <v>0</v>
      </c>
      <c r="AB22" s="116">
        <v>5.1764999999999999</v>
      </c>
      <c r="AC22" s="121">
        <f t="shared" si="42"/>
        <v>0</v>
      </c>
      <c r="AD22" s="116">
        <v>5.2352999999999996</v>
      </c>
      <c r="AE22" s="121">
        <f t="shared" si="43"/>
        <v>0</v>
      </c>
      <c r="AF22" s="122">
        <f t="shared" si="44"/>
        <v>-14.7059</v>
      </c>
      <c r="AG22" s="121">
        <f t="shared" si="45"/>
        <v>0</v>
      </c>
      <c r="AH22" s="123">
        <f t="shared" si="46"/>
        <v>1</v>
      </c>
      <c r="AI22" s="183">
        <f t="shared" si="47"/>
        <v>0</v>
      </c>
      <c r="AJ22" s="120">
        <f t="shared" si="48"/>
        <v>0</v>
      </c>
      <c r="AK22" s="119">
        <f t="shared" si="49"/>
        <v>0</v>
      </c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IF([1]Summ!$A1061="","",[1]Summ!$A1061)</f>
        <v/>
      </c>
      <c r="B23" s="215">
        <f>IF([1]Summ!E1061="",0,[1]Summ!E1061)</f>
        <v>0</v>
      </c>
      <c r="C23" s="215">
        <f>IF([1]Summ!F1061="",0,[1]Summ!F1061)</f>
        <v>0</v>
      </c>
      <c r="D23" s="24">
        <f t="shared" si="34"/>
        <v>0</v>
      </c>
      <c r="E23" s="26">
        <v>1</v>
      </c>
      <c r="F23" s="22"/>
      <c r="H23" s="24">
        <f t="shared" si="35"/>
        <v>1</v>
      </c>
      <c r="I23" s="22">
        <f t="shared" si="36"/>
        <v>0</v>
      </c>
      <c r="J23" s="24">
        <f t="shared" si="17"/>
        <v>0</v>
      </c>
      <c r="K23" s="22">
        <f t="shared" si="37"/>
        <v>0</v>
      </c>
      <c r="L23" s="22">
        <f t="shared" si="38"/>
        <v>0</v>
      </c>
      <c r="M23" s="223">
        <f t="shared" si="39"/>
        <v>0</v>
      </c>
      <c r="N23" s="227"/>
      <c r="O23" s="2"/>
      <c r="P23" s="22"/>
      <c r="Q23" s="171" t="s">
        <v>100</v>
      </c>
      <c r="R23" s="179">
        <f>SUM(R7:R22)</f>
        <v>86672.869900004123</v>
      </c>
      <c r="S23" s="179">
        <f>SUM(S7:S22)</f>
        <v>30338.28295712412</v>
      </c>
      <c r="T23" s="179">
        <f>SUM(T7:T22)</f>
        <v>28903.5465303577</v>
      </c>
      <c r="U23" s="56"/>
      <c r="V23" s="56"/>
      <c r="W23" s="110"/>
      <c r="X23" s="118"/>
      <c r="Y23" s="183">
        <f t="shared" si="40"/>
        <v>0</v>
      </c>
      <c r="Z23" s="116">
        <v>6.2941000000000003</v>
      </c>
      <c r="AA23" s="121">
        <f t="shared" si="41"/>
        <v>0</v>
      </c>
      <c r="AB23" s="116">
        <v>6.1764999999999999</v>
      </c>
      <c r="AC23" s="121">
        <f t="shared" si="42"/>
        <v>0</v>
      </c>
      <c r="AD23" s="116">
        <v>6.2352999999999996</v>
      </c>
      <c r="AE23" s="121">
        <f t="shared" si="43"/>
        <v>0</v>
      </c>
      <c r="AF23" s="122">
        <f t="shared" si="44"/>
        <v>-17.7059</v>
      </c>
      <c r="AG23" s="121">
        <f t="shared" si="45"/>
        <v>0</v>
      </c>
      <c r="AH23" s="123">
        <f t="shared" si="46"/>
        <v>1</v>
      </c>
      <c r="AI23" s="183">
        <f t="shared" si="47"/>
        <v>0</v>
      </c>
      <c r="AJ23" s="120">
        <f t="shared" si="48"/>
        <v>0</v>
      </c>
      <c r="AK23" s="119">
        <f t="shared" si="49"/>
        <v>0</v>
      </c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IF([1]Summ!$A1062="","",[1]Summ!$A1062)</f>
        <v/>
      </c>
      <c r="B24" s="215">
        <f>IF([1]Summ!E1062="",0,[1]Summ!E1062)</f>
        <v>0</v>
      </c>
      <c r="C24" s="215">
        <f>IF([1]Summ!F1062="",0,[1]Summ!F1062)</f>
        <v>0</v>
      </c>
      <c r="D24" s="24">
        <f t="shared" si="34"/>
        <v>0</v>
      </c>
      <c r="E24" s="26">
        <v>1</v>
      </c>
      <c r="F24" s="22"/>
      <c r="H24" s="24">
        <f t="shared" si="35"/>
        <v>1</v>
      </c>
      <c r="I24" s="22">
        <f t="shared" si="36"/>
        <v>0</v>
      </c>
      <c r="J24" s="24">
        <f t="shared" si="17"/>
        <v>0</v>
      </c>
      <c r="K24" s="22">
        <f t="shared" si="37"/>
        <v>0</v>
      </c>
      <c r="L24" s="22">
        <f t="shared" si="38"/>
        <v>0</v>
      </c>
      <c r="M24" s="223">
        <f t="shared" si="39"/>
        <v>0</v>
      </c>
      <c r="N24" s="227"/>
      <c r="O24" s="2"/>
      <c r="P24" s="22"/>
      <c r="Q24" s="59" t="s">
        <v>137</v>
      </c>
      <c r="R24" s="41">
        <f>IF($B$81=0,0,(SUM(($B$70*$H$70))+((1-$D$29)*$I$83))*Poor!$B$81/$B$81)</f>
        <v>35969.406972062054</v>
      </c>
      <c r="S24" s="41">
        <f>IF($B$81=0,0,(SUM(($B$70*$H$70))+((1-$D$29)*$I$83))*Poor!$B$81/$B$81)</f>
        <v>35969.406972062054</v>
      </c>
      <c r="T24" s="41">
        <f>IF($B$81=0,0,(SUM(($B$70*$H$70))+((1-$D$29)*$I$83))*Poor!$B$81/$B$81)</f>
        <v>35969.406972062054</v>
      </c>
      <c r="U24" s="56"/>
      <c r="V24" s="56"/>
      <c r="W24" s="110"/>
      <c r="X24" s="118"/>
      <c r="Y24" s="183">
        <f t="shared" si="40"/>
        <v>0</v>
      </c>
      <c r="Z24" s="116">
        <v>7.2941000000000003</v>
      </c>
      <c r="AA24" s="121">
        <f t="shared" si="41"/>
        <v>0</v>
      </c>
      <c r="AB24" s="116">
        <v>7.1764999999999999</v>
      </c>
      <c r="AC24" s="121">
        <f t="shared" si="42"/>
        <v>0</v>
      </c>
      <c r="AD24" s="116">
        <v>7.2352999999999996</v>
      </c>
      <c r="AE24" s="121">
        <f t="shared" si="43"/>
        <v>0</v>
      </c>
      <c r="AF24" s="122">
        <f t="shared" si="44"/>
        <v>-20.7059</v>
      </c>
      <c r="AG24" s="121">
        <f t="shared" si="45"/>
        <v>0</v>
      </c>
      <c r="AH24" s="123">
        <f t="shared" si="46"/>
        <v>1</v>
      </c>
      <c r="AI24" s="183">
        <f t="shared" si="47"/>
        <v>0</v>
      </c>
      <c r="AJ24" s="120">
        <f t="shared" si="48"/>
        <v>0</v>
      </c>
      <c r="AK24" s="119">
        <f t="shared" si="49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IF([1]Summ!$A1063="","",[1]Summ!$A1063)</f>
        <v/>
      </c>
      <c r="B25" s="215">
        <f>IF([1]Summ!E1063="",0,[1]Summ!E1063)</f>
        <v>0</v>
      </c>
      <c r="C25" s="215">
        <f>IF([1]Summ!F1063="",0,[1]Summ!F1063)</f>
        <v>0</v>
      </c>
      <c r="D25" s="24">
        <f t="shared" si="34"/>
        <v>0</v>
      </c>
      <c r="E25" s="26">
        <v>1</v>
      </c>
      <c r="F25" s="22"/>
      <c r="H25" s="24">
        <f t="shared" si="35"/>
        <v>1</v>
      </c>
      <c r="I25" s="22">
        <f t="shared" si="36"/>
        <v>0</v>
      </c>
      <c r="J25" s="24">
        <f t="shared" si="17"/>
        <v>0</v>
      </c>
      <c r="K25" s="22">
        <f t="shared" si="37"/>
        <v>0</v>
      </c>
      <c r="L25" s="22">
        <f t="shared" si="38"/>
        <v>0</v>
      </c>
      <c r="M25" s="223">
        <f t="shared" si="39"/>
        <v>0</v>
      </c>
      <c r="N25" s="227"/>
      <c r="O25" s="2"/>
      <c r="P25" s="22"/>
      <c r="Q25" s="142" t="s">
        <v>138</v>
      </c>
      <c r="R25" s="41">
        <f>IF($B$81=0,0,(SUM(($B$70*$H$70),($B$71*$H$71))+((1-$D$29)*$I$83))*Poor!$B$81/$B$81)</f>
        <v>54352.233638728729</v>
      </c>
      <c r="S25" s="41">
        <f>IF($B$81=0,0,(SUM(($B$70*$H$70),($B$71*$H$71))+((1-$D$29)*$I$83))*Poor!$B$81/$B$81)</f>
        <v>54352.233638728729</v>
      </c>
      <c r="T25" s="41">
        <f>IF($B$81=0,0,(SUM(($B$70*$H$70),($B$71*$H$71))+((1-$D$29)*$I$83))*Poor!$B$81/$B$81)</f>
        <v>54352.233638728729</v>
      </c>
      <c r="U25" s="56"/>
      <c r="V25" s="56"/>
      <c r="W25" s="110"/>
      <c r="X25" s="118"/>
      <c r="Y25" s="183">
        <f t="shared" si="40"/>
        <v>0</v>
      </c>
      <c r="Z25" s="116">
        <v>8.2941000000000003</v>
      </c>
      <c r="AA25" s="121">
        <f t="shared" si="41"/>
        <v>0</v>
      </c>
      <c r="AB25" s="116">
        <v>8.1765000000000008</v>
      </c>
      <c r="AC25" s="121">
        <f t="shared" si="42"/>
        <v>0</v>
      </c>
      <c r="AD25" s="116">
        <v>8.2353000000000005</v>
      </c>
      <c r="AE25" s="121">
        <f t="shared" si="43"/>
        <v>0</v>
      </c>
      <c r="AF25" s="122">
        <f t="shared" si="44"/>
        <v>-23.7059</v>
      </c>
      <c r="AG25" s="121">
        <f t="shared" si="45"/>
        <v>0</v>
      </c>
      <c r="AH25" s="123">
        <f t="shared" si="46"/>
        <v>1</v>
      </c>
      <c r="AI25" s="183">
        <f t="shared" si="47"/>
        <v>0</v>
      </c>
      <c r="AJ25" s="120">
        <f t="shared" si="48"/>
        <v>0</v>
      </c>
      <c r="AK25" s="119">
        <f t="shared" si="49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IF([1]Summ!$A1064="","",[1]Summ!$A1064)</f>
        <v>Food aid</v>
      </c>
      <c r="B26" s="215">
        <f>IF([1]Summ!E1064="",0,[1]Summ!E1064)</f>
        <v>0.11904761904761904</v>
      </c>
      <c r="C26" s="215">
        <f>IF([1]Summ!F1064="",0,[1]Summ!F1064)</f>
        <v>0</v>
      </c>
      <c r="D26" s="24">
        <f>SUM(B26,C26)</f>
        <v>0.11904761904761904</v>
      </c>
      <c r="E26" s="26">
        <v>1</v>
      </c>
      <c r="F26" s="22"/>
      <c r="H26" s="24">
        <f t="shared" si="1"/>
        <v>1</v>
      </c>
      <c r="I26" s="22">
        <f t="shared" si="2"/>
        <v>0.11904761904761904</v>
      </c>
      <c r="J26" s="24">
        <f>IF(I$32&lt;=1+I131,I26,B26*H26+J$33*(I26-B26*H26))</f>
        <v>0.11904761904761904</v>
      </c>
      <c r="K26" s="22">
        <f t="shared" si="4"/>
        <v>0.11904761904761904</v>
      </c>
      <c r="L26" s="22">
        <f t="shared" si="5"/>
        <v>0.11904761904761904</v>
      </c>
      <c r="M26" s="222">
        <f t="shared" si="6"/>
        <v>0.11904761904761904</v>
      </c>
      <c r="N26" s="227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87090.15363872872</v>
      </c>
      <c r="S26" s="41">
        <f>IF($B$81=0,0,(SUM(($B$70*$H$70),($B$71*$H$71),($B$72*$H$72))+((1-$D$29)*$I$83))*Poor!$B$81/$B$81)</f>
        <v>87090.15363872872</v>
      </c>
      <c r="T26" s="41">
        <f>IF($B$81=0,0,(SUM(($B$70*$H$70),($B$71*$H$71),($B$72*$H$72))+((1-$D$29)*$I$83))*Poor!$B$81/$B$81)</f>
        <v>87090.15363872872</v>
      </c>
      <c r="U26" s="56"/>
      <c r="V26" s="56"/>
      <c r="W26" s="110"/>
      <c r="X26" s="118"/>
      <c r="Y26" s="183">
        <f t="shared" si="9"/>
        <v>0.47619047619047616</v>
      </c>
      <c r="Z26" s="116">
        <v>0.25</v>
      </c>
      <c r="AA26" s="121">
        <f t="shared" si="16"/>
        <v>0.11904761904761904</v>
      </c>
      <c r="AB26" s="116">
        <v>0.25</v>
      </c>
      <c r="AC26" s="121">
        <f t="shared" si="7"/>
        <v>0.11904761904761904</v>
      </c>
      <c r="AD26" s="116">
        <v>0.25</v>
      </c>
      <c r="AE26" s="121">
        <f t="shared" si="8"/>
        <v>0.11904761904761904</v>
      </c>
      <c r="AF26" s="122">
        <f t="shared" si="10"/>
        <v>0.25</v>
      </c>
      <c r="AG26" s="121">
        <f t="shared" si="11"/>
        <v>0.11904761904761904</v>
      </c>
      <c r="AH26" s="123">
        <f t="shared" si="12"/>
        <v>1</v>
      </c>
      <c r="AI26" s="183">
        <f t="shared" si="13"/>
        <v>0.11904761904761904</v>
      </c>
      <c r="AJ26" s="120">
        <f t="shared" si="14"/>
        <v>0.11904761904761904</v>
      </c>
      <c r="AK26" s="119">
        <f t="shared" si="15"/>
        <v>0.11904761904761904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IF([1]Summ!$A1065="","",[1]Summ!$A1065)</f>
        <v>Purchase - other</v>
      </c>
      <c r="B27" s="215">
        <f>IF([1]Summ!E1065="",0,[1]Summ!E1065)</f>
        <v>1.2151756849315068E-2</v>
      </c>
      <c r="C27" s="215">
        <f>IF([1]Summ!F1065="",0,[1]Summ!F1065)</f>
        <v>-1.2151756849315068E-2</v>
      </c>
      <c r="D27" s="24">
        <f>SUM(B27,C27)</f>
        <v>0</v>
      </c>
      <c r="E27" s="26"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1.2151756849315068E-2</v>
      </c>
      <c r="L27" s="22">
        <f t="shared" si="5"/>
        <v>1.2151756849315068E-2</v>
      </c>
      <c r="M27" s="224">
        <f t="shared" si="6"/>
        <v>0</v>
      </c>
      <c r="N27" s="227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16">
        <v>0.25</v>
      </c>
      <c r="AA27" s="121">
        <f t="shared" si="16"/>
        <v>0</v>
      </c>
      <c r="AB27" s="116">
        <v>0.25</v>
      </c>
      <c r="AC27" s="121">
        <f t="shared" si="7"/>
        <v>0</v>
      </c>
      <c r="AD27" s="116"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IF([1]Summ!$A1066="","",[1]Summ!$A1066)</f>
        <v>Purchase - desirable</v>
      </c>
      <c r="B28" s="215">
        <f>IF([1]Summ!E1066="",0,[1]Summ!E1066)</f>
        <v>0</v>
      </c>
      <c r="C28" s="215">
        <f>IF([1]Summ!F1066="",0,[1]Summ!F1066)</f>
        <v>0</v>
      </c>
      <c r="D28" s="24">
        <f>SUM(B28,C28)</f>
        <v>0</v>
      </c>
      <c r="E28" s="26"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2">
        <f t="shared" si="6"/>
        <v>0</v>
      </c>
      <c r="N28" s="227"/>
      <c r="O28" s="2"/>
      <c r="P28" s="22"/>
      <c r="V28" s="56"/>
      <c r="W28" s="110"/>
      <c r="X28" s="118"/>
      <c r="Y28" s="183">
        <f t="shared" si="9"/>
        <v>0</v>
      </c>
      <c r="Z28" s="116">
        <v>0</v>
      </c>
      <c r="AA28" s="121">
        <f t="shared" si="16"/>
        <v>0</v>
      </c>
      <c r="AB28" s="116">
        <v>0</v>
      </c>
      <c r="AC28" s="121">
        <f t="shared" si="7"/>
        <v>0</v>
      </c>
      <c r="AD28" s="116"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IF([1]Summ!$A1067="","",[1]Summ!$A1067)</f>
        <v>Purchase - fpl non staple</v>
      </c>
      <c r="B29" s="215">
        <f>IF([1]Summ!E1067="",0,[1]Summ!E1067)</f>
        <v>0.19629046653175591</v>
      </c>
      <c r="C29" s="215">
        <f>IF([1]Summ!F1067="",0,[1]Summ!F1067)</f>
        <v>2.8346307410241169E-2</v>
      </c>
      <c r="D29" s="24">
        <f>SUM(B29,C29)</f>
        <v>0.22463677394199708</v>
      </c>
      <c r="E29" s="26">
        <v>1</v>
      </c>
      <c r="F29" s="22"/>
      <c r="H29" s="24">
        <f t="shared" si="1"/>
        <v>1</v>
      </c>
      <c r="I29" s="22">
        <f t="shared" si="2"/>
        <v>0.22463677394199708</v>
      </c>
      <c r="J29" s="24">
        <f>IF(I$32&lt;=1+I131,I29,B29*H29+J$33*(I29-B29*H29))</f>
        <v>0.22463677394199708</v>
      </c>
      <c r="K29" s="22">
        <f t="shared" si="4"/>
        <v>0.19629046653175591</v>
      </c>
      <c r="L29" s="22">
        <f t="shared" si="5"/>
        <v>0.19629046653175591</v>
      </c>
      <c r="M29" s="222">
        <f t="shared" si="6"/>
        <v>0.22463677394199708</v>
      </c>
      <c r="N29" s="227"/>
      <c r="P29" s="22"/>
      <c r="V29" s="56"/>
      <c r="W29" s="110"/>
      <c r="X29" s="118"/>
      <c r="Y29" s="183">
        <f t="shared" si="9"/>
        <v>0.8985470957679883</v>
      </c>
      <c r="Z29" s="116">
        <v>0.25</v>
      </c>
      <c r="AA29" s="121">
        <f t="shared" si="16"/>
        <v>0.22463677394199708</v>
      </c>
      <c r="AB29" s="116">
        <v>0.25</v>
      </c>
      <c r="AC29" s="121">
        <f t="shared" si="7"/>
        <v>0.22463677394199708</v>
      </c>
      <c r="AD29" s="116">
        <v>0.25</v>
      </c>
      <c r="AE29" s="121">
        <f t="shared" si="8"/>
        <v>0.22463677394199708</v>
      </c>
      <c r="AF29" s="122">
        <f t="shared" si="10"/>
        <v>0.25</v>
      </c>
      <c r="AG29" s="121">
        <f t="shared" si="11"/>
        <v>0.22463677394199708</v>
      </c>
      <c r="AH29" s="123">
        <f t="shared" si="12"/>
        <v>1</v>
      </c>
      <c r="AI29" s="183">
        <f t="shared" si="13"/>
        <v>0.22463677394199708</v>
      </c>
      <c r="AJ29" s="120">
        <f t="shared" si="14"/>
        <v>0.22463677394199708</v>
      </c>
      <c r="AK29" s="119">
        <f t="shared" si="15"/>
        <v>0.22463677394199708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85" t="str">
        <f>IF([1]Summ!$A1068="","",[1]Summ!$A1068)</f>
        <v>Purchase - staple</v>
      </c>
      <c r="B30" s="215">
        <f>IF([1]Summ!E1068="",0,[1]Summ!E1068)</f>
        <v>0.58958408107098381</v>
      </c>
      <c r="C30" s="103"/>
      <c r="D30" s="24">
        <f>(D119-B124)</f>
        <v>3.0337381703569584</v>
      </c>
      <c r="E30" s="29">
        <v>1</v>
      </c>
      <c r="F30" s="95"/>
      <c r="G30" s="95"/>
      <c r="H30" s="96">
        <f>(E30*F$7/F$9)</f>
        <v>1</v>
      </c>
      <c r="I30" s="29">
        <f>IF(E30&gt;=1,I119-I124,MIN(I119-I124,B30*H30))</f>
        <v>0.21321032969544618</v>
      </c>
      <c r="J30" s="229">
        <f>IF(I$32&lt;=1,I30,1-SUM(J6:J29))</f>
        <v>0.21321032969544618</v>
      </c>
      <c r="K30" s="22">
        <f t="shared" si="4"/>
        <v>0.58958408107098381</v>
      </c>
      <c r="L30" s="22">
        <f>IF(L124=L119,0,IF(K30="",0,(L119-L124)/(B119-B124)*K30))</f>
        <v>5.2716489398852068E-2</v>
      </c>
      <c r="M30" s="175">
        <f t="shared" si="6"/>
        <v>0.21321032969544618</v>
      </c>
      <c r="N30" s="166" t="s">
        <v>86</v>
      </c>
      <c r="O30" s="2"/>
      <c r="P30" s="22"/>
      <c r="Q30" s="232" t="s">
        <v>141</v>
      </c>
      <c r="R30" s="232">
        <f t="shared" ref="R30:T32" si="50">IF(R24&gt;R$23,R24-R$23,0)</f>
        <v>0</v>
      </c>
      <c r="S30" s="232">
        <f t="shared" si="50"/>
        <v>5631.1240149379337</v>
      </c>
      <c r="T30" s="232">
        <f t="shared" si="50"/>
        <v>7065.8604417043534</v>
      </c>
      <c r="V30" s="56"/>
      <c r="W30" s="110"/>
      <c r="X30" s="118"/>
      <c r="Y30" s="183">
        <f>M30*4</f>
        <v>0.85284131878178471</v>
      </c>
      <c r="Z30" s="122">
        <f>IF($Y30=0,0,AA30/($Y$30))</f>
        <v>-3.7875668154978004E-2</v>
      </c>
      <c r="AA30" s="187">
        <f>IF(AA79*4/$I$83+SUM(AA6:AA29)&lt;1,AA79*4/$I$83,1-SUM(AA6:AA29))</f>
        <v>-3.230193477903269E-2</v>
      </c>
      <c r="AB30" s="122">
        <f>IF($Y30=0,0,AC30/($Y$30))</f>
        <v>-1.0961932650656196</v>
      </c>
      <c r="AC30" s="187">
        <f>IF(AC79*4/$I$83+SUM(AC6:AC29)&lt;1,AC79*4/$I$83,1-SUM(AC6:AC29))</f>
        <v>-0.9348789098182736</v>
      </c>
      <c r="AD30" s="122">
        <f>IF($Y30=0,0,AE30/($Y$30))</f>
        <v>-1.0454809558012192</v>
      </c>
      <c r="AE30" s="187">
        <f>IF(AE79*4/$I$83+SUM(AE6:AE29)&lt;1,AE79*4/$I$83,1-SUM(AE6:AE29))</f>
        <v>-0.89162935710675262</v>
      </c>
      <c r="AF30" s="122">
        <f>IF($Y30=0,0,AG30/($Y$30))</f>
        <v>-1.0708371104334196</v>
      </c>
      <c r="AG30" s="187">
        <f>IF(AG79*4/$I$83+SUM(AG6:AG29)&lt;1,AG79*4/$I$83,1-SUM(AG6:AG29))</f>
        <v>-0.91325413346251316</v>
      </c>
      <c r="AH30" s="123">
        <f t="shared" si="12"/>
        <v>-3.2503869994552366</v>
      </c>
      <c r="AI30" s="183">
        <f t="shared" si="13"/>
        <v>-0.69301608379164303</v>
      </c>
      <c r="AJ30" s="120">
        <f t="shared" si="14"/>
        <v>-0.48359042229865312</v>
      </c>
      <c r="AK30" s="119">
        <f t="shared" si="15"/>
        <v>-0.90244174528463295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0">
        <f>(1-SUM(J6:J30))</f>
        <v>0.36380393288778956</v>
      </c>
      <c r="K31" s="22" t="str">
        <f t="shared" si="4"/>
        <v/>
      </c>
      <c r="L31" s="22">
        <f>(1-SUM(L6:L30))</f>
        <v>0.54487203981006682</v>
      </c>
      <c r="M31" s="178">
        <f t="shared" si="6"/>
        <v>0.36380393288778956</v>
      </c>
      <c r="N31" s="167">
        <f>M31*I83</f>
        <v>7065.8604417043543</v>
      </c>
      <c r="P31" s="22"/>
      <c r="Q31" s="236" t="s">
        <v>142</v>
      </c>
      <c r="R31" s="232">
        <f t="shared" si="50"/>
        <v>0</v>
      </c>
      <c r="S31" s="232">
        <f t="shared" si="50"/>
        <v>24013.950681604609</v>
      </c>
      <c r="T31" s="232">
        <f>IF(T25&gt;T$23,T25-T$23,0)</f>
        <v>25448.687108371028</v>
      </c>
      <c r="V31" s="56"/>
      <c r="W31" s="129" t="s">
        <v>84</v>
      </c>
      <c r="X31" s="130"/>
      <c r="Y31" s="121">
        <f>M31*4</f>
        <v>1.4552157315511582</v>
      </c>
      <c r="Z31" s="131"/>
      <c r="AA31" s="132">
        <f>1-AA32+IF($Y32&lt;0,$Y32/4,0)</f>
        <v>0.40698953394383741</v>
      </c>
      <c r="AB31" s="131"/>
      <c r="AC31" s="133">
        <f>1-AC32+IF($Y32&lt;0,$Y32/4,0)</f>
        <v>1.5880030473392428</v>
      </c>
      <c r="AD31" s="134"/>
      <c r="AE31" s="133">
        <f>1-AE32+IF($Y32&lt;0,$Y32/4,0)</f>
        <v>1.5417497586376845</v>
      </c>
      <c r="AF31" s="134"/>
      <c r="AG31" s="133">
        <f>1-AG32+IF($Y32&lt;0,$Y32/4,0)</f>
        <v>1.5433790455787502</v>
      </c>
      <c r="AH31" s="123"/>
      <c r="AI31" s="182">
        <f>SUM(AA31,AC31,AE31,AG31)/4</f>
        <v>1.2700303463748788</v>
      </c>
      <c r="AJ31" s="135">
        <f t="shared" si="14"/>
        <v>0.99749629064154011</v>
      </c>
      <c r="AK31" s="136">
        <f t="shared" si="15"/>
        <v>1.5425644021082174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9" t="s">
        <v>24</v>
      </c>
      <c r="B32" s="29">
        <f>SUM(B6:B30)</f>
        <v>1.1952745430513549</v>
      </c>
      <c r="C32" s="29">
        <f>SUM(C6:C31)</f>
        <v>3.8093130884711904E-2</v>
      </c>
      <c r="D32" s="24">
        <f>SUM(D6:D30)</f>
        <v>3.6775217632220416</v>
      </c>
      <c r="E32" s="2"/>
      <c r="F32" s="2"/>
      <c r="H32" s="17"/>
      <c r="I32" s="22">
        <f>SUM(I6:I30)</f>
        <v>0.63619606711221044</v>
      </c>
      <c r="J32" s="17"/>
      <c r="L32" s="22">
        <f>SUM(L6:L30)</f>
        <v>0.45512796018993318</v>
      </c>
      <c r="M32" s="23"/>
      <c r="N32" s="56"/>
      <c r="O32" s="2"/>
      <c r="P32" s="22"/>
      <c r="Q32" s="232" t="s">
        <v>143</v>
      </c>
      <c r="R32" s="232">
        <f t="shared" si="50"/>
        <v>417.28373872459633</v>
      </c>
      <c r="S32" s="232">
        <f t="shared" si="50"/>
        <v>56751.870681604603</v>
      </c>
      <c r="T32" s="232">
        <f t="shared" si="50"/>
        <v>58186.607108371019</v>
      </c>
      <c r="V32" s="56"/>
      <c r="W32" s="110"/>
      <c r="X32" s="118"/>
      <c r="Y32" s="115">
        <f>SUM(Y6:Y31)</f>
        <v>4</v>
      </c>
      <c r="Z32" s="137"/>
      <c r="AA32" s="138">
        <f>SUM(AA6:AA30)</f>
        <v>0.59301046605616259</v>
      </c>
      <c r="AB32" s="137"/>
      <c r="AC32" s="139">
        <f>SUM(AC6:AC30)</f>
        <v>-0.5880030473392428</v>
      </c>
      <c r="AD32" s="137"/>
      <c r="AE32" s="139">
        <f>SUM(AE6:AE30)</f>
        <v>-0.54174975863768449</v>
      </c>
      <c r="AF32" s="137"/>
      <c r="AG32" s="139">
        <f>SUM(AG6:AG30)</f>
        <v>-0.54337904557875016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9"/>
      <c r="B33" s="9"/>
      <c r="C33" s="9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4.5714777861395692</v>
      </c>
      <c r="K33" s="14"/>
      <c r="L33" s="11"/>
      <c r="M33" s="30"/>
      <c r="N33" s="168" t="s">
        <v>87</v>
      </c>
      <c r="O33" s="2"/>
      <c r="P33" s="2"/>
      <c r="Q33" s="236"/>
      <c r="R33" s="232"/>
      <c r="S33" s="232"/>
      <c r="T33" s="232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15" t="s">
        <v>26</v>
      </c>
      <c r="B34" s="1"/>
      <c r="C34" s="1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18382.826666666671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1"/>
      <c r="B35" s="1" t="s">
        <v>7</v>
      </c>
      <c r="C35" s="1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184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1" t="s">
        <v>30</v>
      </c>
      <c r="B36" s="1" t="s">
        <v>16</v>
      </c>
      <c r="C36" s="1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0"/>
      <c r="S36" s="240"/>
      <c r="T36" s="249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IF([1]Summ!$A1072="","",[1]Summ!$A1072)</f>
        <v>Cattle sales - local: no. sold</v>
      </c>
      <c r="B37" s="216">
        <f>IF([1]Summ!E1072="",0,[1]Summ!E1072)</f>
        <v>6750</v>
      </c>
      <c r="C37" s="216">
        <f>IF([1]Summ!F1072="",0,[1]Summ!F1072)</f>
        <v>0</v>
      </c>
      <c r="D37" s="38">
        <f>SUM(B37,C37)</f>
        <v>6750</v>
      </c>
      <c r="E37" s="231">
        <v>0.5</v>
      </c>
      <c r="F37" s="26">
        <v>1.18</v>
      </c>
      <c r="G37" s="26">
        <v>1.65</v>
      </c>
      <c r="H37" s="24">
        <f t="shared" ref="H37:H49" si="51">(E37*F37)</f>
        <v>0.59</v>
      </c>
      <c r="I37" s="39">
        <f t="shared" ref="I37:I49" si="52">D37*H37</f>
        <v>3982.5</v>
      </c>
      <c r="J37" s="38">
        <f t="shared" ref="J37:J49" si="53">J91*I$83</f>
        <v>3982.5</v>
      </c>
      <c r="K37" s="40">
        <f t="shared" ref="K37:K49" si="54">(B37/B$65)</f>
        <v>0.12662739654072713</v>
      </c>
      <c r="L37" s="22">
        <f t="shared" ref="L37:L49" si="55">(K37*H37)</f>
        <v>7.4710163959029005E-2</v>
      </c>
      <c r="M37" s="24">
        <f t="shared" ref="M37:M49" si="56">J37/B$65</f>
        <v>7.4710163959029005E-2</v>
      </c>
      <c r="N37" s="227">
        <v>5</v>
      </c>
      <c r="O37" s="2"/>
      <c r="Q37" s="59" t="s">
        <v>71</v>
      </c>
      <c r="R37" s="220">
        <f>IF($B$81=0,0,(SUMIF($N$6:$N$28,$U7,K$6:K$28)*$B$83+SUMIF($N$37:$N$64,$U7,B$37:B$64))*[2]Poor!$B$81/$B$81)</f>
        <v>2704.266735645449</v>
      </c>
      <c r="S37" s="220">
        <f>IF($B$81=0,0,(SUMIF($N$6:$N$28,$U37,L$6:L$28)+SUMIF($N$91:$N$118,$U37,L$91:L$118))*$I$83*[2]Poor!$B$81/$B$81)</f>
        <v>0</v>
      </c>
      <c r="T37" s="220">
        <f>IF($B$81=0,0,(SUMIF($N$6:$N$28,$U7,M$6:M$28)+SUMIF($N$91:$N$118,$U7,M$91:M$118))*$I$83*[2]Poor!$B$81/$B$81)</f>
        <v>1351.9601796764625</v>
      </c>
      <c r="U37" s="56"/>
      <c r="V37" s="56"/>
      <c r="W37" s="115"/>
      <c r="X37" s="118"/>
      <c r="Y37" s="110"/>
      <c r="Z37" s="122">
        <f>IF($J37=0,0,AA37/($J37))</f>
        <v>1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3982.5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57">1-SUM(Z37,AB37,AD37)</f>
        <v>0</v>
      </c>
      <c r="AG37" s="147">
        <f>$J37*AF37</f>
        <v>0</v>
      </c>
      <c r="AH37" s="123">
        <f>SUM(Z37,AB37,AD37,AF37)</f>
        <v>1</v>
      </c>
      <c r="AI37" s="112">
        <f>SUM(AA37,AC37,AE37,AG37)</f>
        <v>3982.5</v>
      </c>
      <c r="AJ37" s="148">
        <f>(AA37+AC37)</f>
        <v>3982.5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IF([1]Summ!$A1073="","",[1]Summ!$A1073)</f>
        <v>Goat sales - local: no. sold</v>
      </c>
      <c r="B38" s="216">
        <f>IF([1]Summ!E1073="",0,[1]Summ!E1073)</f>
        <v>3000</v>
      </c>
      <c r="C38" s="216">
        <f>IF([1]Summ!F1073="",0,[1]Summ!F1073)</f>
        <v>-2500</v>
      </c>
      <c r="D38" s="38">
        <f t="shared" ref="D38:D47" si="58">SUM(B38,C38)</f>
        <v>500</v>
      </c>
      <c r="E38" s="26">
        <v>0.5</v>
      </c>
      <c r="F38" s="26">
        <v>1.18</v>
      </c>
      <c r="G38" s="22">
        <f t="shared" ref="G38:G64" si="59">(G$37)</f>
        <v>1.65</v>
      </c>
      <c r="H38" s="24">
        <f t="shared" si="51"/>
        <v>0.59</v>
      </c>
      <c r="I38" s="39">
        <f t="shared" si="52"/>
        <v>295</v>
      </c>
      <c r="J38" s="38">
        <f t="shared" si="53"/>
        <v>294.99999999999983</v>
      </c>
      <c r="K38" s="40">
        <f t="shared" si="54"/>
        <v>5.6278842906989833E-2</v>
      </c>
      <c r="L38" s="22">
        <f t="shared" si="55"/>
        <v>3.3204517315123999E-2</v>
      </c>
      <c r="M38" s="24">
        <f t="shared" si="56"/>
        <v>5.5340862191873303E-3</v>
      </c>
      <c r="N38" s="227">
        <v>5</v>
      </c>
      <c r="O38" s="2"/>
      <c r="P38" s="2"/>
      <c r="Q38" s="59" t="s">
        <v>72</v>
      </c>
      <c r="R38" s="220">
        <f>IF($B$81=0,0,(SUMIF($N$6:$N$28,$U8,K$6:K$28)*$B$83+SUMIF($N$37:$N$64,$U8,B$37:B$64))*[2]Poor!$B$81/$B$81)</f>
        <v>1660</v>
      </c>
      <c r="S38" s="220">
        <f>IF($B$81=0,0,(SUMIF($N$6:$N$28,$U38,L$6:L$28)+SUMIF($N$91:$N$118,$U38,L$91:L$118))*$I$83*[2]Poor!$B$81/$B$81)</f>
        <v>0</v>
      </c>
      <c r="T38" s="220">
        <f>IF($B$81=0,0,(SUMIF($N$6:$N$28,$U8,M$6:M$28)+SUMIF($N$91:$N$118,$U8,M$91:M$118))*$I$83*[2]Poor!$B$81/$B$81)</f>
        <v>419.99999999999989</v>
      </c>
      <c r="U38" s="56"/>
      <c r="V38" s="56"/>
      <c r="W38" s="115"/>
      <c r="X38" s="118"/>
      <c r="Y38" s="110"/>
      <c r="Z38" s="122">
        <f>IF($J38=0,0,AA38/($J38))</f>
        <v>1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294.99999999999983</v>
      </c>
      <c r="AB38" s="122">
        <f>IF($J38=0,0,AC38/($J38))</f>
        <v>0</v>
      </c>
      <c r="AC38" s="147">
        <f>IF(SUM(AC$6:AC$29)+(SUM(AC$40:AC$64,-AC$70)/AC$83)&lt;1,IF(SUM(AC$6:AC$29)+((SUM(AC$40:AC$64,$J$37:$J$41,-AC$70)-SUM($AA$37:$AA$39))/AC$83)&lt;1,$J38-$AA38,(AC$83-(SUM(AC$6:AC$29)*AC$83)-SUM(AC$40:AC$64,-AC$70))*($J38/SUM($J$37:$J$41))),0)</f>
        <v>0</v>
      </c>
      <c r="AD38" s="122">
        <f>IF($J38=0,0,AE38/($J38))</f>
        <v>0</v>
      </c>
      <c r="AE38" s="147">
        <f>IF(SUM(AE$6:AE$29)+(SUM(AE$40:AE$64,-AE$70)/AE$83)&lt;1,IF(SUM(AE$6:AE$29)+((SUM(AE$40:AE$64,$J$37:$J$41,-AE$70)-SUM($AA$37:$AA$39)-SUM($AC$37:$AC$39))/AE$83)&lt;1,$J38-$AA38-$AC38,(AE$83-(SUM(AE$6:AE$29)*AE$83)-SUM(AE$40:AE$64,-AE$70))*($J38/SUM($J$37:$J$41))),0)</f>
        <v>0</v>
      </c>
      <c r="AF38" s="122">
        <f t="shared" si="57"/>
        <v>0</v>
      </c>
      <c r="AG38" s="147">
        <f t="shared" ref="AG38:AG64" si="60">$J38*AF38</f>
        <v>0</v>
      </c>
      <c r="AH38" s="123">
        <f t="shared" ref="AH38:AI58" si="61">SUM(Z38,AB38,AD38,AF38)</f>
        <v>1</v>
      </c>
      <c r="AI38" s="112">
        <f t="shared" si="61"/>
        <v>294.99999999999983</v>
      </c>
      <c r="AJ38" s="148">
        <f t="shared" ref="AJ38:AJ64" si="62">(AA38+AC38)</f>
        <v>294.99999999999983</v>
      </c>
      <c r="AK38" s="147">
        <f t="shared" ref="AK38:AK64" si="63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IF([1]Summ!$A1074="","",[1]Summ!$A1074)</f>
        <v>Sheep sales - local: no. sold</v>
      </c>
      <c r="B39" s="216">
        <f>IF([1]Summ!E1074="",0,[1]Summ!E1074)</f>
        <v>0</v>
      </c>
      <c r="C39" s="216">
        <f>IF([1]Summ!F1074="",0,[1]Summ!F1074)</f>
        <v>0</v>
      </c>
      <c r="D39" s="38">
        <f t="shared" si="58"/>
        <v>0</v>
      </c>
      <c r="E39" s="26">
        <v>0.5</v>
      </c>
      <c r="F39" s="26">
        <v>1.18</v>
      </c>
      <c r="G39" s="22">
        <f t="shared" si="59"/>
        <v>1.65</v>
      </c>
      <c r="H39" s="24">
        <f t="shared" si="51"/>
        <v>0.59</v>
      </c>
      <c r="I39" s="39">
        <f t="shared" si="52"/>
        <v>0</v>
      </c>
      <c r="J39" s="38">
        <f t="shared" si="53"/>
        <v>0</v>
      </c>
      <c r="K39" s="40">
        <f t="shared" si="54"/>
        <v>0</v>
      </c>
      <c r="L39" s="22">
        <f t="shared" si="55"/>
        <v>0</v>
      </c>
      <c r="M39" s="24">
        <f t="shared" si="56"/>
        <v>0</v>
      </c>
      <c r="N39" s="227">
        <v>5</v>
      </c>
      <c r="O39" s="2"/>
      <c r="P39" s="2"/>
      <c r="Q39" s="59" t="s">
        <v>73</v>
      </c>
      <c r="R39" s="220">
        <f>IF($B$81=0,0,(SUMIF($N$6:$N$28,$U9,K$6:K$28)*$B$83+SUMIF($N$37:$N$64,$U9,B$37:B$64))*[2]Poor!$B$81/$B$81)</f>
        <v>570.43548525155074</v>
      </c>
      <c r="S39" s="220">
        <f>IF($B$81=0,0,(SUMIF($N$6:$N$28,$U39,L$6:L$28)+SUMIF($N$91:$N$118,$U39,L$91:L$118))*$I$83*[2]Poor!$B$81/$B$81)</f>
        <v>0</v>
      </c>
      <c r="T39" s="220">
        <f>IF($B$81=0,0,(SUMIF($N$6:$N$28,$U9,M$6:M$28)+SUMIF($N$91:$N$118,$U9,M$91:M$118))*$I$83*[2]Poor!$B$81/$B$81)</f>
        <v>188.24371013301172</v>
      </c>
      <c r="U39" s="56"/>
      <c r="V39" s="56"/>
      <c r="W39" s="115"/>
      <c r="X39" s="118">
        <v>1</v>
      </c>
      <c r="Y39" s="110"/>
      <c r="Z39" s="122">
        <f>Z8</f>
        <v>1</v>
      </c>
      <c r="AA39" s="147">
        <f t="shared" ref="AA39:AA64" si="64">$J39*Z39</f>
        <v>0</v>
      </c>
      <c r="AB39" s="122">
        <f>AB8</f>
        <v>0</v>
      </c>
      <c r="AC39" s="147">
        <f t="shared" ref="AC39:AC64" si="65">$J39*AB39</f>
        <v>0</v>
      </c>
      <c r="AD39" s="122">
        <f>AD8</f>
        <v>0</v>
      </c>
      <c r="AE39" s="147">
        <f t="shared" ref="AE39:AE64" si="66">$J39*AD39</f>
        <v>0</v>
      </c>
      <c r="AF39" s="122">
        <f t="shared" si="57"/>
        <v>0</v>
      </c>
      <c r="AG39" s="147">
        <f t="shared" si="60"/>
        <v>0</v>
      </c>
      <c r="AH39" s="123">
        <f t="shared" si="61"/>
        <v>1</v>
      </c>
      <c r="AI39" s="112">
        <f t="shared" si="61"/>
        <v>0</v>
      </c>
      <c r="AJ39" s="148">
        <f t="shared" si="62"/>
        <v>0</v>
      </c>
      <c r="AK39" s="147">
        <f t="shared" si="63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IF([1]Summ!$A1075="","",[1]Summ!$A1075)</f>
        <v>Chicken sales: no. sold</v>
      </c>
      <c r="B40" s="216">
        <f>IF([1]Summ!E1075="",0,[1]Summ!E1075)</f>
        <v>0</v>
      </c>
      <c r="C40" s="216">
        <f>IF([1]Summ!F1075="",0,[1]Summ!F1075)</f>
        <v>0</v>
      </c>
      <c r="D40" s="38">
        <f t="shared" si="58"/>
        <v>0</v>
      </c>
      <c r="E40" s="26">
        <v>1</v>
      </c>
      <c r="F40" s="26">
        <v>1.18</v>
      </c>
      <c r="G40" s="22">
        <f t="shared" si="59"/>
        <v>1.65</v>
      </c>
      <c r="H40" s="24">
        <f t="shared" si="51"/>
        <v>1.18</v>
      </c>
      <c r="I40" s="39">
        <f t="shared" si="52"/>
        <v>0</v>
      </c>
      <c r="J40" s="38">
        <f t="shared" si="53"/>
        <v>0</v>
      </c>
      <c r="K40" s="40">
        <f t="shared" si="54"/>
        <v>0</v>
      </c>
      <c r="L40" s="22">
        <f t="shared" si="55"/>
        <v>0</v>
      </c>
      <c r="M40" s="24">
        <f t="shared" si="56"/>
        <v>0</v>
      </c>
      <c r="N40" s="227">
        <v>5</v>
      </c>
      <c r="O40" s="2"/>
      <c r="P40" s="2"/>
      <c r="Q40" s="59" t="s">
        <v>74</v>
      </c>
      <c r="R40" s="220">
        <f>IF($B$81=0,0,(SUMIF($N$6:$N$28,$U10,K$6:K$28)*$B$83+SUMIF($N$37:$N$64,$U10,B$37:B$64))*[2]Poor!$B$81/$B$81)</f>
        <v>0</v>
      </c>
      <c r="S40" s="220">
        <f>IF($B$81=0,0,(SUMIF($N$6:$N$28,$U40,L$6:L$28)+SUMIF($N$91:$N$118,$U40,L$91:L$118))*$I$83*[2]Poor!$B$81/$B$81)</f>
        <v>0</v>
      </c>
      <c r="T40" s="220">
        <f>IF($B$81=0,0,(SUMIF($N$6:$N$28,$U10,M$6:M$28)+SUMIF($N$91:$N$118,$U10,M$91:M$118))*$I$83*[2]Poor!$B$81/$B$81)</f>
        <v>0</v>
      </c>
      <c r="U40" s="56"/>
      <c r="V40" s="56"/>
      <c r="W40" s="115"/>
      <c r="X40" s="118">
        <v>1</v>
      </c>
      <c r="Y40" s="110"/>
      <c r="Z40" s="122">
        <f>Z9</f>
        <v>1</v>
      </c>
      <c r="AA40" s="147">
        <f t="shared" si="64"/>
        <v>0</v>
      </c>
      <c r="AB40" s="122">
        <f>AB9</f>
        <v>0</v>
      </c>
      <c r="AC40" s="147">
        <f t="shared" si="65"/>
        <v>0</v>
      </c>
      <c r="AD40" s="122">
        <f>AD9</f>
        <v>0</v>
      </c>
      <c r="AE40" s="147">
        <f t="shared" si="66"/>
        <v>0</v>
      </c>
      <c r="AF40" s="122">
        <f t="shared" si="57"/>
        <v>0</v>
      </c>
      <c r="AG40" s="147">
        <f t="shared" si="60"/>
        <v>0</v>
      </c>
      <c r="AH40" s="123">
        <f t="shared" si="61"/>
        <v>1</v>
      </c>
      <c r="AI40" s="112">
        <f t="shared" si="61"/>
        <v>0</v>
      </c>
      <c r="AJ40" s="148">
        <f t="shared" si="62"/>
        <v>0</v>
      </c>
      <c r="AK40" s="147">
        <f t="shared" si="63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IF([1]Summ!$A1076="","",[1]Summ!$A1076)</f>
        <v>Maize: kg produced</v>
      </c>
      <c r="B41" s="216">
        <f>IF([1]Summ!E1076="",0,[1]Summ!E1076)</f>
        <v>0</v>
      </c>
      <c r="C41" s="216">
        <f>IF([1]Summ!F1076="",0,[1]Summ!F1076)</f>
        <v>0</v>
      </c>
      <c r="D41" s="38">
        <f t="shared" si="58"/>
        <v>0</v>
      </c>
      <c r="E41" s="75">
        <f>E8</f>
        <v>0.3</v>
      </c>
      <c r="F41" s="26">
        <v>1.4</v>
      </c>
      <c r="G41" s="22">
        <f t="shared" si="59"/>
        <v>1.65</v>
      </c>
      <c r="H41" s="24">
        <f t="shared" si="51"/>
        <v>0.42</v>
      </c>
      <c r="I41" s="39">
        <f t="shared" si="52"/>
        <v>0</v>
      </c>
      <c r="J41" s="38">
        <f t="shared" si="53"/>
        <v>0</v>
      </c>
      <c r="K41" s="40">
        <f t="shared" si="54"/>
        <v>0</v>
      </c>
      <c r="L41" s="22">
        <f t="shared" si="55"/>
        <v>0</v>
      </c>
      <c r="M41" s="24">
        <f t="shared" si="56"/>
        <v>0</v>
      </c>
      <c r="N41" s="227">
        <v>2</v>
      </c>
      <c r="O41" s="2"/>
      <c r="P41" s="2"/>
      <c r="Q41" s="59" t="s">
        <v>75</v>
      </c>
      <c r="R41" s="220">
        <f>IF($B$81=0,0,(SUMIF($N$6:$N$28,$U11,K$6:K$28)*$B$83+SUMIF($N$37:$N$64,$U11,B$37:B$64))*[2]Poor!$B$81/$B$81)</f>
        <v>9750</v>
      </c>
      <c r="S41" s="220">
        <f>IF($B$81=0,0,(SUMIF($N$6:$N$28,$U41,L$6:L$28)+SUMIF($N$91:$N$118,$U41,L$91:L$118))*$I$83*[2]Poor!$B$81/$B$81)</f>
        <v>0</v>
      </c>
      <c r="T41" s="220">
        <f>IF($B$81=0,0,(SUMIF($N$6:$N$28,$U11,M$6:M$28)+SUMIF($N$91:$N$118,$U11,M$91:M$118))*$I$83*[2]Poor!$B$81/$B$81)</f>
        <v>4277.5</v>
      </c>
      <c r="U41" s="56"/>
      <c r="V41" s="56"/>
      <c r="W41" s="115"/>
      <c r="X41" s="118">
        <v>1</v>
      </c>
      <c r="Y41" s="110"/>
      <c r="Z41" s="122">
        <f>Z11</f>
        <v>0</v>
      </c>
      <c r="AA41" s="147">
        <f t="shared" si="64"/>
        <v>0</v>
      </c>
      <c r="AB41" s="122">
        <f>AB11</f>
        <v>0</v>
      </c>
      <c r="AC41" s="147">
        <f t="shared" si="65"/>
        <v>0</v>
      </c>
      <c r="AD41" s="122">
        <f>AD11</f>
        <v>0</v>
      </c>
      <c r="AE41" s="147">
        <f t="shared" si="66"/>
        <v>0</v>
      </c>
      <c r="AF41" s="122">
        <f t="shared" si="57"/>
        <v>1</v>
      </c>
      <c r="AG41" s="147">
        <f t="shared" si="60"/>
        <v>0</v>
      </c>
      <c r="AH41" s="123">
        <f t="shared" si="61"/>
        <v>1</v>
      </c>
      <c r="AI41" s="112">
        <f t="shared" si="61"/>
        <v>0</v>
      </c>
      <c r="AJ41" s="148">
        <f t="shared" si="62"/>
        <v>0</v>
      </c>
      <c r="AK41" s="147">
        <f t="shared" si="63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IF([1]Summ!$A1077="","",[1]Summ!$A1077)</f>
        <v>Beans: kg produced</v>
      </c>
      <c r="B42" s="216">
        <f>IF([1]Summ!E1077="",0,[1]Summ!E1077)</f>
        <v>1500</v>
      </c>
      <c r="C42" s="216">
        <f>IF([1]Summ!F1077="",0,[1]Summ!F1077)</f>
        <v>0</v>
      </c>
      <c r="D42" s="38">
        <f t="shared" si="58"/>
        <v>1500</v>
      </c>
      <c r="E42" s="75">
        <f>E9</f>
        <v>0.2</v>
      </c>
      <c r="F42" s="26">
        <v>1.4</v>
      </c>
      <c r="G42" s="22">
        <f t="shared" si="59"/>
        <v>1.65</v>
      </c>
      <c r="H42" s="24">
        <f t="shared" si="51"/>
        <v>0.27999999999999997</v>
      </c>
      <c r="I42" s="39">
        <f t="shared" si="52"/>
        <v>419.99999999999994</v>
      </c>
      <c r="J42" s="38">
        <f t="shared" si="53"/>
        <v>419.99999999999989</v>
      </c>
      <c r="K42" s="40">
        <f t="shared" si="54"/>
        <v>2.8139421453494916E-2</v>
      </c>
      <c r="L42" s="22">
        <f t="shared" si="55"/>
        <v>7.8790380069785754E-3</v>
      </c>
      <c r="M42" s="24">
        <f t="shared" si="56"/>
        <v>7.8790380069785736E-3</v>
      </c>
      <c r="N42" s="227">
        <v>2</v>
      </c>
      <c r="O42" s="2"/>
      <c r="P42" s="56"/>
      <c r="Q42" s="126" t="s">
        <v>124</v>
      </c>
      <c r="R42" s="220">
        <f>IF($B$81=0,0,(SUMIF($N$6:$N$28,$U12,K$6:K$28)*$B$83+SUMIF($N$37:$N$64,$U12,B$37:B$64))*[2]Poor!$B$81/$B$81)</f>
        <v>0</v>
      </c>
      <c r="S42" s="220">
        <f>IF($B$81=0,0,(SUMIF($N$6:$N$28,$U42,L$6:L$28)+SUMIF($N$91:$N$118,$U42,L$91:L$118))*$I$83*[2]Poor!$B$81/$B$81)</f>
        <v>0</v>
      </c>
      <c r="T42" s="220">
        <f>IF($B$81=0,0,(SUMIF($N$6:$N$28,$U12,M$6:M$28)+SUMIF($N$91:$N$118,$U12,M$91:M$118))*$I$83*[2]Poor!$B$81/$B$81)</f>
        <v>0</v>
      </c>
      <c r="U42" s="56"/>
      <c r="V42" s="56"/>
      <c r="W42" s="115"/>
      <c r="X42" s="118"/>
      <c r="Y42" s="110"/>
      <c r="Z42" s="116">
        <v>0.25</v>
      </c>
      <c r="AA42" s="147">
        <f t="shared" si="64"/>
        <v>104.99999999999997</v>
      </c>
      <c r="AB42" s="116">
        <v>0</v>
      </c>
      <c r="AC42" s="147">
        <f t="shared" si="65"/>
        <v>0</v>
      </c>
      <c r="AD42" s="116">
        <v>0.5</v>
      </c>
      <c r="AE42" s="147">
        <f t="shared" si="66"/>
        <v>209.99999999999994</v>
      </c>
      <c r="AF42" s="122">
        <f t="shared" si="57"/>
        <v>0.25</v>
      </c>
      <c r="AG42" s="147">
        <f t="shared" si="60"/>
        <v>104.99999999999997</v>
      </c>
      <c r="AH42" s="123">
        <f t="shared" si="61"/>
        <v>1</v>
      </c>
      <c r="AI42" s="112">
        <f t="shared" si="61"/>
        <v>419.99999999999989</v>
      </c>
      <c r="AJ42" s="148">
        <f t="shared" si="62"/>
        <v>104.99999999999997</v>
      </c>
      <c r="AK42" s="147">
        <f t="shared" si="63"/>
        <v>314.99999999999989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IF([1]Summ!$A1078="","",[1]Summ!$A1078)</f>
        <v>potatoes: kg produced</v>
      </c>
      <c r="B43" s="216">
        <f>IF([1]Summ!E1078="",0,[1]Summ!E1078)</f>
        <v>160</v>
      </c>
      <c r="C43" s="216">
        <f>IF([1]Summ!F1078="",0,[1]Summ!F1078)</f>
        <v>-160</v>
      </c>
      <c r="D43" s="38">
        <f t="shared" si="58"/>
        <v>0</v>
      </c>
      <c r="E43" s="75">
        <f>E10</f>
        <v>0.2</v>
      </c>
      <c r="F43" s="26">
        <v>1.4</v>
      </c>
      <c r="G43" s="22">
        <f t="shared" si="59"/>
        <v>1.65</v>
      </c>
      <c r="H43" s="24">
        <f t="shared" si="51"/>
        <v>0.27999999999999997</v>
      </c>
      <c r="I43" s="39">
        <f t="shared" si="52"/>
        <v>0</v>
      </c>
      <c r="J43" s="38">
        <f t="shared" si="53"/>
        <v>0</v>
      </c>
      <c r="K43" s="40">
        <f t="shared" si="54"/>
        <v>3.0015382883727911E-3</v>
      </c>
      <c r="L43" s="22">
        <f t="shared" si="55"/>
        <v>8.4043072074438147E-4</v>
      </c>
      <c r="M43" s="24">
        <f t="shared" si="56"/>
        <v>0</v>
      </c>
      <c r="N43" s="227">
        <v>2</v>
      </c>
      <c r="O43" s="2"/>
      <c r="P43" s="59"/>
      <c r="Q43" s="59" t="s">
        <v>76</v>
      </c>
      <c r="R43" s="220">
        <f>IF($B$81=0,0,(SUMIF($N$6:$N$28,$U13,K$6:K$28)*$B$83+SUMIF($N$37:$N$64,$U13,B$37:B$64))*[2]Poor!$B$81/$B$81)</f>
        <v>4960</v>
      </c>
      <c r="S43" s="220">
        <f>IF($B$81=0,0,(SUMIF($N$6:$N$28,$U43,L$6:L$28)+SUMIF($N$91:$N$118,$U43,L$91:L$118))*$I$83*[2]Poor!$B$81/$B$81)</f>
        <v>0</v>
      </c>
      <c r="T43" s="220">
        <f>IF($B$81=0,0,(SUMIF($N$6:$N$28,$U13,M$6:M$28)+SUMIF($N$91:$N$118,$U13,M$91:M$118))*$I$83*[2]Poor!$B$81/$B$81)</f>
        <v>2752.8000000000006</v>
      </c>
      <c r="U43" s="56"/>
      <c r="V43" s="56"/>
      <c r="W43" s="115"/>
      <c r="X43" s="118"/>
      <c r="Y43" s="110"/>
      <c r="Z43" s="116">
        <v>0.25</v>
      </c>
      <c r="AA43" s="147">
        <f t="shared" si="64"/>
        <v>0</v>
      </c>
      <c r="AB43" s="116">
        <v>0.25</v>
      </c>
      <c r="AC43" s="147">
        <f t="shared" si="65"/>
        <v>0</v>
      </c>
      <c r="AD43" s="116">
        <v>0.25</v>
      </c>
      <c r="AE43" s="147">
        <f t="shared" si="66"/>
        <v>0</v>
      </c>
      <c r="AF43" s="122">
        <f t="shared" si="57"/>
        <v>0.25</v>
      </c>
      <c r="AG43" s="147">
        <f t="shared" si="60"/>
        <v>0</v>
      </c>
      <c r="AH43" s="123">
        <f t="shared" si="61"/>
        <v>1</v>
      </c>
      <c r="AI43" s="112">
        <f t="shared" si="61"/>
        <v>0</v>
      </c>
      <c r="AJ43" s="148">
        <f t="shared" si="62"/>
        <v>0</v>
      </c>
      <c r="AK43" s="147">
        <f t="shared" si="63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IF([1]Summ!$A1079="","",[1]Summ!$A1079)</f>
        <v>Agricultural cash income -- see Data2</v>
      </c>
      <c r="B44" s="216">
        <f>IF([1]Summ!E1079="",0,[1]Summ!E1079)</f>
        <v>2760</v>
      </c>
      <c r="C44" s="216">
        <f>IF([1]Summ!F1079="",0,[1]Summ!F1079)</f>
        <v>0</v>
      </c>
      <c r="D44" s="38">
        <f t="shared" si="58"/>
        <v>2760</v>
      </c>
      <c r="E44" s="26">
        <v>0.5</v>
      </c>
      <c r="F44" s="26">
        <v>1.1100000000000001</v>
      </c>
      <c r="G44" s="22">
        <f t="shared" si="59"/>
        <v>1.65</v>
      </c>
      <c r="H44" s="24">
        <f t="shared" si="51"/>
        <v>0.55500000000000005</v>
      </c>
      <c r="I44" s="39">
        <f t="shared" si="52"/>
        <v>1531.8000000000002</v>
      </c>
      <c r="J44" s="38">
        <f t="shared" si="53"/>
        <v>1531.8000000000002</v>
      </c>
      <c r="K44" s="40">
        <f t="shared" si="54"/>
        <v>5.1776535474430646E-2</v>
      </c>
      <c r="L44" s="22">
        <f t="shared" si="55"/>
        <v>2.873597718830901E-2</v>
      </c>
      <c r="M44" s="24">
        <f t="shared" si="56"/>
        <v>2.873597718830901E-2</v>
      </c>
      <c r="N44" s="227">
        <v>7</v>
      </c>
      <c r="O44" s="2"/>
      <c r="P44" s="2"/>
      <c r="Q44" s="126" t="s">
        <v>77</v>
      </c>
      <c r="R44" s="220">
        <f>IF($B$81=0,0,(SUMIF($N$6:$N$28,$U14,K$6:K$28)*$B$83+SUMIF($N$37:$N$64,$U14,B$37:B$64))*[2]Poor!$B$81/$B$81)</f>
        <v>0</v>
      </c>
      <c r="S44" s="220">
        <f>IF($B$81=0,0,(SUMIF($N$6:$N$28,$U44,L$6:L$28)+SUMIF($N$91:$N$118,$U44,L$91:L$118))*$I$83*[2]Poor!$B$81/$B$81)</f>
        <v>0</v>
      </c>
      <c r="T44" s="220">
        <f>IF($B$81=0,0,(SUMIF($N$6:$N$28,$U14,M$6:M$28)+SUMIF($N$91:$N$118,$U14,M$91:M$118))*$I$83*[2]Poor!$B$81/$B$81)</f>
        <v>0</v>
      </c>
      <c r="U44" s="56"/>
      <c r="V44" s="56"/>
      <c r="W44" s="117"/>
      <c r="X44" s="118"/>
      <c r="Y44" s="110"/>
      <c r="Z44" s="116">
        <v>0.25</v>
      </c>
      <c r="AA44" s="147">
        <f t="shared" si="64"/>
        <v>382.95000000000005</v>
      </c>
      <c r="AB44" s="116">
        <v>0.25</v>
      </c>
      <c r="AC44" s="147">
        <f t="shared" si="65"/>
        <v>382.95000000000005</v>
      </c>
      <c r="AD44" s="116">
        <v>0.25</v>
      </c>
      <c r="AE44" s="147">
        <f t="shared" si="66"/>
        <v>382.95000000000005</v>
      </c>
      <c r="AF44" s="122">
        <f t="shared" si="57"/>
        <v>0.25</v>
      </c>
      <c r="AG44" s="147">
        <f t="shared" si="60"/>
        <v>382.95000000000005</v>
      </c>
      <c r="AH44" s="123">
        <f t="shared" si="61"/>
        <v>1</v>
      </c>
      <c r="AI44" s="112">
        <f t="shared" si="61"/>
        <v>1531.8000000000002</v>
      </c>
      <c r="AJ44" s="148">
        <f t="shared" si="62"/>
        <v>765.90000000000009</v>
      </c>
      <c r="AK44" s="147">
        <f t="shared" si="63"/>
        <v>765.90000000000009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IF([1]Summ!$A1080="","",[1]Summ!$A1080)</f>
        <v>Construction cash income -- see Data2</v>
      </c>
      <c r="B45" s="216">
        <f>IF([1]Summ!E1080="",0,[1]Summ!E1080)</f>
        <v>0</v>
      </c>
      <c r="C45" s="216">
        <f>IF([1]Summ!F1080="",0,[1]Summ!F1080)</f>
        <v>0</v>
      </c>
      <c r="D45" s="38">
        <f t="shared" si="58"/>
        <v>0</v>
      </c>
      <c r="E45" s="26">
        <v>0.5</v>
      </c>
      <c r="F45" s="26">
        <v>1.1100000000000001</v>
      </c>
      <c r="G45" s="22">
        <f t="shared" si="59"/>
        <v>1.65</v>
      </c>
      <c r="H45" s="24">
        <f t="shared" si="51"/>
        <v>0.55500000000000005</v>
      </c>
      <c r="I45" s="39">
        <f t="shared" si="52"/>
        <v>0</v>
      </c>
      <c r="J45" s="38">
        <f t="shared" si="53"/>
        <v>0</v>
      </c>
      <c r="K45" s="40">
        <f t="shared" si="54"/>
        <v>0</v>
      </c>
      <c r="L45" s="22">
        <f t="shared" si="55"/>
        <v>0</v>
      </c>
      <c r="M45" s="24">
        <f t="shared" si="56"/>
        <v>0</v>
      </c>
      <c r="N45" s="227">
        <v>7</v>
      </c>
      <c r="O45" s="2"/>
      <c r="P45" s="56"/>
      <c r="Q45" s="59" t="s">
        <v>127</v>
      </c>
      <c r="R45" s="220">
        <f>IF($B$81=0,0,(SUMIF($N$6:$N$28,$U15,K$6:K$28)*$B$83+SUMIF($N$37:$N$64,$U15,B$37:B$64))*[2]Poor!$B$81/$B$81)</f>
        <v>14916</v>
      </c>
      <c r="S45" s="220">
        <f>IF($B$81=0,0,(SUMIF($N$6:$N$28,$U45,L$6:L$28)+SUMIF($N$91:$N$118,$U45,L$91:L$118))*$I$83*[2]Poor!$B$81/$B$81)</f>
        <v>0</v>
      </c>
      <c r="T45" s="220">
        <f>IF($B$81=0,0,(SUMIF($N$6:$N$28,$U15,M$6:M$28)+SUMIF($N$91:$N$118,$U15,M$91:M$118))*$I$83*[2]Poor!$B$81/$B$81)</f>
        <v>17600.879999999997</v>
      </c>
      <c r="U45" s="56"/>
      <c r="V45" s="56"/>
      <c r="W45" s="110"/>
      <c r="X45" s="118"/>
      <c r="Y45" s="110"/>
      <c r="Z45" s="116">
        <v>0.25</v>
      </c>
      <c r="AA45" s="147">
        <f t="shared" si="64"/>
        <v>0</v>
      </c>
      <c r="AB45" s="116">
        <v>0.25</v>
      </c>
      <c r="AC45" s="147">
        <f t="shared" si="65"/>
        <v>0</v>
      </c>
      <c r="AD45" s="116">
        <v>0.25</v>
      </c>
      <c r="AE45" s="147">
        <f t="shared" si="66"/>
        <v>0</v>
      </c>
      <c r="AF45" s="122">
        <f t="shared" si="57"/>
        <v>0.25</v>
      </c>
      <c r="AG45" s="147">
        <f t="shared" si="60"/>
        <v>0</v>
      </c>
      <c r="AH45" s="123">
        <f t="shared" si="61"/>
        <v>1</v>
      </c>
      <c r="AI45" s="112">
        <f t="shared" si="61"/>
        <v>0</v>
      </c>
      <c r="AJ45" s="148">
        <f t="shared" si="62"/>
        <v>0</v>
      </c>
      <c r="AK45" s="147">
        <f t="shared" si="63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IF([1]Summ!$A1081="","",[1]Summ!$A1081)</f>
        <v>Domestic work cash income -- see Data2</v>
      </c>
      <c r="B46" s="216">
        <f>IF([1]Summ!E1081="",0,[1]Summ!E1081)</f>
        <v>2200</v>
      </c>
      <c r="C46" s="216">
        <f>IF([1]Summ!F1081="",0,[1]Summ!F1081)</f>
        <v>0</v>
      </c>
      <c r="D46" s="38">
        <f t="shared" si="58"/>
        <v>2200</v>
      </c>
      <c r="E46" s="26">
        <v>0.5</v>
      </c>
      <c r="F46" s="26">
        <v>1.1100000000000001</v>
      </c>
      <c r="G46" s="22">
        <f t="shared" si="59"/>
        <v>1.65</v>
      </c>
      <c r="H46" s="24">
        <f t="shared" si="51"/>
        <v>0.55500000000000005</v>
      </c>
      <c r="I46" s="39">
        <f t="shared" si="52"/>
        <v>1221</v>
      </c>
      <c r="J46" s="38">
        <f t="shared" si="53"/>
        <v>1221</v>
      </c>
      <c r="K46" s="40">
        <f t="shared" si="54"/>
        <v>4.1271151465125874E-2</v>
      </c>
      <c r="L46" s="22">
        <f t="shared" si="55"/>
        <v>2.2905489063144862E-2</v>
      </c>
      <c r="M46" s="24">
        <f t="shared" si="56"/>
        <v>2.2905489063144862E-2</v>
      </c>
      <c r="N46" s="227">
        <v>7</v>
      </c>
      <c r="O46" s="2"/>
      <c r="P46" s="2"/>
      <c r="Q46" s="126" t="s">
        <v>78</v>
      </c>
      <c r="R46" s="220">
        <f>IF($B$81=0,0,(SUMIF($N$6:$N$28,$U16,K$6:K$28)*$B$83+SUMIF($N$37:$N$64,$U16,B$37:B$64))*[2]Poor!$B$81/$B$81)</f>
        <v>0</v>
      </c>
      <c r="S46" s="220">
        <f>IF($B$81=0,0,(SUMIF($N$6:$N$28,$U46,L$6:L$28)+SUMIF($N$91:$N$118,$U46,L$91:L$118))*$I$83*[2]Poor!$B$81/$B$81)</f>
        <v>0</v>
      </c>
      <c r="T46" s="220">
        <f>IF($B$81=0,0,(SUMIF($N$6:$N$28,$U16,M$6:M$28)+SUMIF($N$91:$N$118,$U16,M$91:M$118))*$I$83*[2]Poor!$B$81/$B$81)</f>
        <v>0</v>
      </c>
      <c r="U46" s="56"/>
      <c r="V46" s="56"/>
      <c r="W46" s="110"/>
      <c r="X46" s="118"/>
      <c r="Y46" s="110"/>
      <c r="Z46" s="116">
        <v>0.25</v>
      </c>
      <c r="AA46" s="147">
        <f t="shared" si="64"/>
        <v>305.25</v>
      </c>
      <c r="AB46" s="116">
        <v>0.25</v>
      </c>
      <c r="AC46" s="147">
        <f t="shared" si="65"/>
        <v>305.25</v>
      </c>
      <c r="AD46" s="116">
        <v>0.25</v>
      </c>
      <c r="AE46" s="147">
        <f t="shared" si="66"/>
        <v>305.25</v>
      </c>
      <c r="AF46" s="122">
        <f t="shared" si="57"/>
        <v>0.25</v>
      </c>
      <c r="AG46" s="147">
        <f t="shared" si="60"/>
        <v>305.25</v>
      </c>
      <c r="AH46" s="123">
        <f t="shared" si="61"/>
        <v>1</v>
      </c>
      <c r="AI46" s="112">
        <f t="shared" si="61"/>
        <v>1221</v>
      </c>
      <c r="AJ46" s="148">
        <f t="shared" si="62"/>
        <v>610.5</v>
      </c>
      <c r="AK46" s="147">
        <f t="shared" si="63"/>
        <v>610.5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IF([1]Summ!$A1082="","",[1]Summ!$A1082)</f>
        <v>Labour migration(formal employment): no. people per HH</v>
      </c>
      <c r="B47" s="216">
        <f>IF([1]Summ!E1082="",0,[1]Summ!E1082)</f>
        <v>0</v>
      </c>
      <c r="C47" s="216">
        <f>IF([1]Summ!F1082="",0,[1]Summ!F1082)</f>
        <v>0</v>
      </c>
      <c r="D47" s="38">
        <f t="shared" si="58"/>
        <v>0</v>
      </c>
      <c r="E47" s="26">
        <v>0.4</v>
      </c>
      <c r="F47" s="26">
        <v>1.18</v>
      </c>
      <c r="G47" s="22">
        <f t="shared" si="59"/>
        <v>1.65</v>
      </c>
      <c r="H47" s="24">
        <f t="shared" si="51"/>
        <v>0.47199999999999998</v>
      </c>
      <c r="I47" s="39">
        <f t="shared" si="52"/>
        <v>0</v>
      </c>
      <c r="J47" s="38">
        <f t="shared" si="53"/>
        <v>0</v>
      </c>
      <c r="K47" s="40">
        <f t="shared" si="54"/>
        <v>0</v>
      </c>
      <c r="L47" s="22">
        <f t="shared" si="55"/>
        <v>0</v>
      </c>
      <c r="M47" s="24">
        <f t="shared" si="56"/>
        <v>0</v>
      </c>
      <c r="N47" s="227">
        <v>8</v>
      </c>
      <c r="O47" s="2"/>
      <c r="P47" s="59"/>
      <c r="Q47" s="126" t="s">
        <v>125</v>
      </c>
      <c r="R47" s="220">
        <f>IF($B$81=0,0,(SUMIF($N$6:$N$28,$U17,K$6:K$28)*$B$83+SUMIF($N$37:$N$64,$U17,B$37:B$64))*[2]Poor!$B$81/$B$81)</f>
        <v>0</v>
      </c>
      <c r="S47" s="220">
        <f>IF($B$81=0,0,(SUMIF($N$6:$N$28,$U47,L$6:L$28)+SUMIF($N$91:$N$118,$U47,L$91:L$118))*$I$83*[2]Poor!$B$81/$B$81)</f>
        <v>0</v>
      </c>
      <c r="T47" s="220">
        <f>IF($B$81=0,0,(SUMIF($N$6:$N$28,$U17,M$6:M$28)+SUMIF($N$91:$N$118,$U17,M$91:M$118))*$I$83*[2]Poor!$B$81/$B$81)</f>
        <v>0</v>
      </c>
      <c r="U47" s="56"/>
      <c r="V47" s="56"/>
      <c r="W47" s="110"/>
      <c r="X47" s="118"/>
      <c r="Y47" s="110"/>
      <c r="Z47" s="116">
        <v>0.25</v>
      </c>
      <c r="AA47" s="147">
        <f t="shared" si="64"/>
        <v>0</v>
      </c>
      <c r="AB47" s="116">
        <v>0.25</v>
      </c>
      <c r="AC47" s="147">
        <f t="shared" si="65"/>
        <v>0</v>
      </c>
      <c r="AD47" s="116">
        <v>0.25</v>
      </c>
      <c r="AE47" s="147">
        <f t="shared" si="66"/>
        <v>0</v>
      </c>
      <c r="AF47" s="122">
        <f t="shared" si="57"/>
        <v>0.25</v>
      </c>
      <c r="AG47" s="147">
        <f t="shared" si="60"/>
        <v>0</v>
      </c>
      <c r="AH47" s="123">
        <f t="shared" si="61"/>
        <v>1</v>
      </c>
      <c r="AI47" s="112">
        <f t="shared" si="61"/>
        <v>0</v>
      </c>
      <c r="AJ47" s="148">
        <f t="shared" si="62"/>
        <v>0</v>
      </c>
      <c r="AK47" s="147">
        <f t="shared" si="63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IF([1]Summ!$A1083="","",[1]Summ!$A1083)</f>
        <v>Small business -- see Data2</v>
      </c>
      <c r="B48" s="216">
        <f>IF([1]Summ!E1083="",0,[1]Summ!E1083)</f>
        <v>0</v>
      </c>
      <c r="C48" s="216">
        <f>IF([1]Summ!F1083="",0,[1]Summ!F1083)</f>
        <v>0</v>
      </c>
      <c r="D48" s="38">
        <f>SUM(B48,C48)</f>
        <v>0</v>
      </c>
      <c r="E48" s="26">
        <v>0.8</v>
      </c>
      <c r="F48" s="26">
        <v>1.18</v>
      </c>
      <c r="G48" s="22">
        <f t="shared" si="59"/>
        <v>1.65</v>
      </c>
      <c r="H48" s="24">
        <f t="shared" si="51"/>
        <v>0.94399999999999995</v>
      </c>
      <c r="I48" s="39">
        <f t="shared" si="52"/>
        <v>0</v>
      </c>
      <c r="J48" s="38">
        <f t="shared" si="53"/>
        <v>0</v>
      </c>
      <c r="K48" s="40">
        <f t="shared" si="54"/>
        <v>0</v>
      </c>
      <c r="L48" s="22">
        <f t="shared" si="55"/>
        <v>0</v>
      </c>
      <c r="M48" s="24">
        <f t="shared" si="56"/>
        <v>0</v>
      </c>
      <c r="N48" s="227">
        <v>11</v>
      </c>
      <c r="O48" s="2"/>
      <c r="P48" s="59"/>
      <c r="Q48" s="59" t="s">
        <v>79</v>
      </c>
      <c r="R48" s="220">
        <f>IF($B$81=0,0,(SUMIF($N$6:$N$28,$U18,K$6:K$28)*$B$83+SUMIF($N$37:$N$64,$U18,B$37:B$64))*[2]Poor!$B$81/$B$81)</f>
        <v>1401.3106912413493</v>
      </c>
      <c r="S48" s="220">
        <f>IF($B$81=0,0,(SUMIF($N$6:$N$28,$U48,L$6:L$28)+SUMIF($N$91:$N$118,$U48,L$91:L$118))*$I$83*[2]Poor!$B$81/$B$81)</f>
        <v>0</v>
      </c>
      <c r="T48" s="220">
        <f>IF($B$81=0,0,(SUMIF($N$6:$N$28,$U18,M$6:M$28)+SUMIF($N$91:$N$118,$U18,M$91:M$118))*$I$83*[2]Poor!$B$81/$B$81)</f>
        <v>2312.1626405482261</v>
      </c>
      <c r="U48" s="56"/>
      <c r="V48" s="56"/>
      <c r="W48" s="110"/>
      <c r="X48" s="118"/>
      <c r="Y48" s="110"/>
      <c r="Z48" s="116">
        <v>0.25</v>
      </c>
      <c r="AA48" s="147">
        <f t="shared" si="64"/>
        <v>0</v>
      </c>
      <c r="AB48" s="116">
        <v>0.25</v>
      </c>
      <c r="AC48" s="147">
        <f t="shared" si="65"/>
        <v>0</v>
      </c>
      <c r="AD48" s="116">
        <v>0.25</v>
      </c>
      <c r="AE48" s="147">
        <f t="shared" si="66"/>
        <v>0</v>
      </c>
      <c r="AF48" s="122">
        <f t="shared" si="57"/>
        <v>0.25</v>
      </c>
      <c r="AG48" s="147">
        <f t="shared" si="60"/>
        <v>0</v>
      </c>
      <c r="AH48" s="123">
        <f t="shared" si="61"/>
        <v>1</v>
      </c>
      <c r="AI48" s="112">
        <f t="shared" si="61"/>
        <v>0</v>
      </c>
      <c r="AJ48" s="148">
        <f t="shared" si="62"/>
        <v>0</v>
      </c>
      <c r="AK48" s="147">
        <f t="shared" si="63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IF([1]Summ!$A1084="","",[1]Summ!$A1084)</f>
        <v>Social development -- see Data2</v>
      </c>
      <c r="B49" s="216">
        <f>IF([1]Summ!E1084="",0,[1]Summ!E1084)</f>
        <v>22020</v>
      </c>
      <c r="C49" s="216">
        <f>IF([1]Summ!F1084="",0,[1]Summ!F1084)</f>
        <v>0</v>
      </c>
      <c r="D49" s="38">
        <f t="shared" ref="D49:D64" si="67">SUM(B49,C49)</f>
        <v>22020</v>
      </c>
      <c r="E49" s="26">
        <v>0</v>
      </c>
      <c r="F49" s="26">
        <v>1.18</v>
      </c>
      <c r="G49" s="22">
        <f t="shared" si="59"/>
        <v>1.65</v>
      </c>
      <c r="H49" s="24">
        <f t="shared" si="51"/>
        <v>0</v>
      </c>
      <c r="I49" s="39">
        <f t="shared" si="52"/>
        <v>0</v>
      </c>
      <c r="J49" s="38">
        <f t="shared" si="53"/>
        <v>0</v>
      </c>
      <c r="K49" s="40">
        <f t="shared" si="54"/>
        <v>0.41308670693730537</v>
      </c>
      <c r="L49" s="22">
        <f t="shared" si="55"/>
        <v>0</v>
      </c>
      <c r="M49" s="24">
        <f t="shared" si="56"/>
        <v>0</v>
      </c>
      <c r="N49" s="227">
        <v>14</v>
      </c>
      <c r="O49" s="2"/>
      <c r="P49" s="56"/>
      <c r="Q49" s="59" t="s">
        <v>80</v>
      </c>
      <c r="R49" s="220">
        <f>IF($B$81=0,0,(SUMIF($N$6:$N$28,$U19,K$6:K$28)*$B$83+SUMIF($N$37:$N$64,$U19,B$37:B$64))*[2]Poor!$B$81/$B$81)</f>
        <v>0</v>
      </c>
      <c r="S49" s="220">
        <f>IF($B$81=0,0,(SUMIF($N$6:$N$28,$U49,L$6:L$28)+SUMIF($N$91:$N$118,$U49,L$91:L$118))*$I$83*[2]Poor!$B$81/$B$81)</f>
        <v>0</v>
      </c>
      <c r="T49" s="220">
        <f>IF($B$81=0,0,(SUMIF($N$6:$N$28,$U19,M$6:M$28)+SUMIF($N$91:$N$118,$U19,M$91:M$118))*$I$83*[2]Poor!$B$81/$B$81)</f>
        <v>0</v>
      </c>
      <c r="U49" s="56"/>
      <c r="V49" s="56"/>
      <c r="W49" s="110"/>
      <c r="X49" s="118"/>
      <c r="Y49" s="110"/>
      <c r="Z49" s="116">
        <v>0.25</v>
      </c>
      <c r="AA49" s="147">
        <f t="shared" si="64"/>
        <v>0</v>
      </c>
      <c r="AB49" s="116">
        <v>0.25</v>
      </c>
      <c r="AC49" s="147">
        <f t="shared" si="65"/>
        <v>0</v>
      </c>
      <c r="AD49" s="116">
        <v>0.25</v>
      </c>
      <c r="AE49" s="147">
        <f t="shared" si="66"/>
        <v>0</v>
      </c>
      <c r="AF49" s="122">
        <f t="shared" si="57"/>
        <v>0.25</v>
      </c>
      <c r="AG49" s="147">
        <f t="shared" si="60"/>
        <v>0</v>
      </c>
      <c r="AH49" s="123">
        <f t="shared" si="61"/>
        <v>1</v>
      </c>
      <c r="AI49" s="112">
        <f t="shared" si="61"/>
        <v>0</v>
      </c>
      <c r="AJ49" s="148">
        <f t="shared" si="62"/>
        <v>0</v>
      </c>
      <c r="AK49" s="147">
        <f t="shared" si="63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IF([1]Summ!$A1085="","",[1]Summ!$A1085)</f>
        <v>Public works -- see Data2</v>
      </c>
      <c r="B50" s="216">
        <f>IF([1]Summ!E1085="",0,[1]Summ!E1085)</f>
        <v>14916</v>
      </c>
      <c r="C50" s="216">
        <f>IF([1]Summ!F1085="",0,[1]Summ!F1085)</f>
        <v>0</v>
      </c>
      <c r="D50" s="38">
        <f t="shared" si="67"/>
        <v>14916</v>
      </c>
      <c r="E50" s="26">
        <v>1</v>
      </c>
      <c r="F50" s="26">
        <v>1.18</v>
      </c>
      <c r="G50" s="22">
        <f t="shared" si="59"/>
        <v>1.65</v>
      </c>
      <c r="H50" s="24">
        <f t="shared" ref="H50:H64" si="68">(E50*F50)</f>
        <v>1.18</v>
      </c>
      <c r="I50" s="39">
        <f t="shared" ref="I50:I64" si="69">D50*H50</f>
        <v>17600.879999999997</v>
      </c>
      <c r="J50" s="38">
        <f t="shared" ref="J50:J64" si="70">J104*I$83</f>
        <v>17600.879999999997</v>
      </c>
      <c r="K50" s="40">
        <f t="shared" ref="K50:K64" si="71">(B50/B$65)</f>
        <v>0.27981840693355342</v>
      </c>
      <c r="L50" s="22">
        <f t="shared" ref="L50:L64" si="72">(K50*H50)</f>
        <v>0.33018572018159303</v>
      </c>
      <c r="M50" s="24">
        <f t="shared" ref="M50:M64" si="73">J50/B$65</f>
        <v>0.33018572018159303</v>
      </c>
      <c r="N50" s="227">
        <v>9</v>
      </c>
      <c r="P50" s="64"/>
      <c r="Q50" s="59" t="s">
        <v>81</v>
      </c>
      <c r="R50" s="220">
        <f>IF($B$81=0,0,(SUMIF($N$6:$N$28,$U20,K$6:K$28)*$B$83+SUMIF($N$37:$N$64,$U20,B$37:B$64))*[2]Poor!$B$81/$B$81)</f>
        <v>22020</v>
      </c>
      <c r="S50" s="220">
        <f>IF($B$81=0,0,(SUMIF($N$6:$N$28,$U50,L$6:L$28)+SUMIF($N$91:$N$118,$U50,L$91:L$118))*$I$83*[2]Poor!$B$81/$B$81)</f>
        <v>0</v>
      </c>
      <c r="T50" s="220">
        <f>IF($B$81=0,0,(SUMIF($N$6:$N$28,$U20,M$6:M$28)+SUMIF($N$91:$N$118,$U20,M$91:M$118))*$I$83*[2]Poor!$B$81/$B$81)</f>
        <v>0</v>
      </c>
      <c r="U50" s="56"/>
      <c r="V50" s="56"/>
      <c r="W50" s="110"/>
      <c r="X50" s="118"/>
      <c r="Y50" s="110"/>
      <c r="Z50" s="116"/>
      <c r="AA50" s="147"/>
      <c r="AB50" s="116"/>
      <c r="AC50" s="147"/>
      <c r="AD50" s="116"/>
      <c r="AE50" s="147"/>
      <c r="AF50" s="122"/>
      <c r="AG50" s="147"/>
      <c r="AH50" s="123"/>
      <c r="AI50" s="112"/>
      <c r="AJ50" s="148"/>
      <c r="AK50" s="147"/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IF([1]Summ!$A1086="","",[1]Summ!$A1086)</f>
        <v>Gifts/social support: type (Child support, Pension and Foster Care)</v>
      </c>
      <c r="B51" s="216">
        <f>IF([1]Summ!E1086="",0,[1]Summ!E1086)</f>
        <v>0</v>
      </c>
      <c r="C51" s="216">
        <f>IF([1]Summ!F1086="",0,[1]Summ!F1086)</f>
        <v>0</v>
      </c>
      <c r="D51" s="38">
        <f t="shared" si="67"/>
        <v>0</v>
      </c>
      <c r="E51" s="26">
        <v>1</v>
      </c>
      <c r="F51" s="26">
        <v>1</v>
      </c>
      <c r="G51" s="22">
        <f t="shared" si="59"/>
        <v>1.65</v>
      </c>
      <c r="H51" s="24">
        <f t="shared" si="68"/>
        <v>1</v>
      </c>
      <c r="I51" s="39">
        <f t="shared" si="69"/>
        <v>0</v>
      </c>
      <c r="J51" s="38">
        <f t="shared" si="70"/>
        <v>0</v>
      </c>
      <c r="K51" s="40">
        <f t="shared" si="71"/>
        <v>0</v>
      </c>
      <c r="L51" s="22">
        <f t="shared" si="72"/>
        <v>0</v>
      </c>
      <c r="M51" s="24">
        <f t="shared" si="73"/>
        <v>0</v>
      </c>
      <c r="N51" s="227">
        <v>15</v>
      </c>
      <c r="O51" s="2"/>
      <c r="P51" s="59"/>
      <c r="Q51" s="59" t="s">
        <v>82</v>
      </c>
      <c r="R51" s="220">
        <f>IF($B$81=0,0,(SUMIF($N$6:$N$28,$U21,K$6:K$28)*$B$83+SUMIF($N$37:$N$64,$U21,B$37:B$64))*[2]Poor!$B$81/$B$81)</f>
        <v>0</v>
      </c>
      <c r="S51" s="220">
        <f>IF($B$81=0,0,(SUMIF($N$6:$N$28,$U51,L$6:L$28)+SUMIF($N$91:$N$118,$U51,L$91:L$118))*$I$83*[2]Poor!$B$81/$B$81)</f>
        <v>0</v>
      </c>
      <c r="T51" s="220">
        <f>IF($B$81=0,0,(SUMIF($N$6:$N$28,$U21,M$6:M$28)+SUMIF($N$91:$N$118,$U21,M$91:M$118))*$I$83*[2]Poor!$B$81/$B$81)</f>
        <v>0</v>
      </c>
      <c r="U51" s="56"/>
      <c r="V51" s="56"/>
      <c r="W51" s="110"/>
      <c r="X51" s="118"/>
      <c r="Y51" s="110"/>
      <c r="Z51" s="116"/>
      <c r="AA51" s="147"/>
      <c r="AB51" s="116"/>
      <c r="AC51" s="147"/>
      <c r="AD51" s="116"/>
      <c r="AE51" s="147"/>
      <c r="AF51" s="122"/>
      <c r="AG51" s="147"/>
      <c r="AH51" s="123"/>
      <c r="AI51" s="112"/>
      <c r="AJ51" s="148"/>
      <c r="AK51" s="147"/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IF([1]Summ!$A1087="","",[1]Summ!$A1087)</f>
        <v>Remittances: no. times per year</v>
      </c>
      <c r="B52" s="216">
        <f>IF([1]Summ!E1087="",0,[1]Summ!E1087)</f>
        <v>0</v>
      </c>
      <c r="C52" s="216">
        <f>IF([1]Summ!F1087="",0,[1]Summ!F1087)</f>
        <v>0</v>
      </c>
      <c r="D52" s="38">
        <f t="shared" si="67"/>
        <v>0</v>
      </c>
      <c r="E52" s="26">
        <v>1</v>
      </c>
      <c r="F52" s="26">
        <v>1.1100000000000001</v>
      </c>
      <c r="G52" s="22">
        <f t="shared" si="59"/>
        <v>1.65</v>
      </c>
      <c r="H52" s="24">
        <f t="shared" si="68"/>
        <v>1.1100000000000001</v>
      </c>
      <c r="I52" s="39">
        <f t="shared" si="69"/>
        <v>0</v>
      </c>
      <c r="J52" s="38">
        <f t="shared" si="70"/>
        <v>0</v>
      </c>
      <c r="K52" s="40">
        <f t="shared" si="71"/>
        <v>0</v>
      </c>
      <c r="L52" s="22">
        <f t="shared" si="72"/>
        <v>0</v>
      </c>
      <c r="M52" s="24">
        <f t="shared" si="73"/>
        <v>0</v>
      </c>
      <c r="N52" s="227">
        <v>15</v>
      </c>
      <c r="O52" s="2"/>
      <c r="P52" s="59"/>
      <c r="Q52" s="59" t="s">
        <v>83</v>
      </c>
      <c r="R52" s="220">
        <f>IF($B$81=0,0,(SUMIF($N$6:$N$28,$U22,K$6:K$28)*$B$83+SUMIF($N$37:$N$64,$U22,B$37:B$64))*[2]Poor!$B$81/$B$81)</f>
        <v>0</v>
      </c>
      <c r="S52" s="220">
        <f>IF($B$81=0,0,(SUMIF($N$6:$N$28,$U52,L$6:L$28)+SUMIF($N$91:$N$118,$U52,L$91:L$118))*$I$83*[2]Poor!$B$81/$B$81)</f>
        <v>0</v>
      </c>
      <c r="T52" s="220">
        <f>IF($B$81=0,0,(SUMIF($N$6:$N$28,$U22,M$6:M$28)+SUMIF($N$91:$N$118,$U22,M$91:M$118))*$I$83*[2]Poor!$B$81/$B$81)</f>
        <v>0</v>
      </c>
      <c r="U52" s="56"/>
      <c r="V52" s="56"/>
      <c r="W52" s="110"/>
      <c r="X52" s="118"/>
      <c r="Y52" s="110"/>
      <c r="Z52" s="116"/>
      <c r="AA52" s="147"/>
      <c r="AB52" s="116"/>
      <c r="AC52" s="147"/>
      <c r="AD52" s="116"/>
      <c r="AE52" s="147"/>
      <c r="AF52" s="122"/>
      <c r="AG52" s="147"/>
      <c r="AH52" s="123"/>
      <c r="AI52" s="112"/>
      <c r="AJ52" s="148"/>
      <c r="AK52" s="147"/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 thickBot="1">
      <c r="A53" s="85" t="str">
        <f>IF([1]Summ!$A1088="","",[1]Summ!$A1088)</f>
        <v/>
      </c>
      <c r="B53" s="216">
        <f>IF([1]Summ!E1088="",0,[1]Summ!E1088)</f>
        <v>0</v>
      </c>
      <c r="C53" s="216">
        <f>IF([1]Summ!F1088="",0,[1]Summ!F1088)</f>
        <v>0</v>
      </c>
      <c r="D53" s="38">
        <f t="shared" si="67"/>
        <v>0</v>
      </c>
      <c r="E53" s="26">
        <v>1</v>
      </c>
      <c r="F53" s="26">
        <v>1</v>
      </c>
      <c r="G53" s="22">
        <f t="shared" si="59"/>
        <v>1.65</v>
      </c>
      <c r="H53" s="24">
        <f t="shared" si="68"/>
        <v>1</v>
      </c>
      <c r="I53" s="39">
        <f t="shared" si="69"/>
        <v>0</v>
      </c>
      <c r="J53" s="38">
        <f t="shared" si="70"/>
        <v>0</v>
      </c>
      <c r="K53" s="40">
        <f t="shared" si="71"/>
        <v>0</v>
      </c>
      <c r="L53" s="22">
        <f t="shared" si="72"/>
        <v>0</v>
      </c>
      <c r="M53" s="24">
        <f t="shared" si="73"/>
        <v>0</v>
      </c>
      <c r="N53" s="2"/>
      <c r="O53" s="2"/>
      <c r="P53" s="2"/>
      <c r="Q53" s="171" t="s">
        <v>100</v>
      </c>
      <c r="R53" s="179">
        <f>SUM(R37:R52)</f>
        <v>57982.012912138351</v>
      </c>
      <c r="S53" s="179">
        <f>SUM(S37:S52)</f>
        <v>0</v>
      </c>
      <c r="T53" s="179">
        <f>SUM(T37:T52)</f>
        <v>28903.5465303577</v>
      </c>
      <c r="U53" s="56"/>
      <c r="V53" s="56"/>
      <c r="W53" s="110"/>
      <c r="X53" s="118"/>
      <c r="Y53" s="110"/>
      <c r="Z53" s="116"/>
      <c r="AA53" s="147"/>
      <c r="AB53" s="116"/>
      <c r="AC53" s="147"/>
      <c r="AD53" s="11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 thickTop="1">
      <c r="A54" s="85" t="str">
        <f>IF([1]Summ!$A1089="","",[1]Summ!$A1089)</f>
        <v/>
      </c>
      <c r="B54" s="216">
        <f>IF([1]Summ!E1089="",0,[1]Summ!E1089)</f>
        <v>0</v>
      </c>
      <c r="C54" s="216">
        <f>IF([1]Summ!F1089="",0,[1]Summ!F1089)</f>
        <v>0</v>
      </c>
      <c r="D54" s="38">
        <f t="shared" si="67"/>
        <v>0</v>
      </c>
      <c r="E54" s="26">
        <v>1</v>
      </c>
      <c r="F54" s="26">
        <v>1</v>
      </c>
      <c r="G54" s="22">
        <f t="shared" si="59"/>
        <v>1.65</v>
      </c>
      <c r="H54" s="24">
        <f t="shared" si="68"/>
        <v>1</v>
      </c>
      <c r="I54" s="39">
        <f t="shared" si="69"/>
        <v>0</v>
      </c>
      <c r="J54" s="38">
        <f t="shared" si="70"/>
        <v>0</v>
      </c>
      <c r="K54" s="40">
        <f t="shared" si="71"/>
        <v>0</v>
      </c>
      <c r="L54" s="22">
        <f t="shared" si="72"/>
        <v>0</v>
      </c>
      <c r="M54" s="24">
        <f t="shared" si="73"/>
        <v>0</v>
      </c>
      <c r="N54" s="2"/>
      <c r="O54" s="2"/>
      <c r="P54" s="2"/>
      <c r="Q54" s="59" t="s">
        <v>137</v>
      </c>
      <c r="R54" s="41">
        <f>IF($B$81=0,0,(SUM(($B$70))+((1-$D$29)*$B$83))*[2]Poor!$B$81/$B$81)</f>
        <v>24062.646384067204</v>
      </c>
      <c r="S54" s="41">
        <f>IF($B$81=0,0,(SUM(($B$70*$H$70))+((1-$D$29)*$I$83))*[2]Poor!$B$81/$B$81)</f>
        <v>35969.406972062054</v>
      </c>
      <c r="T54" s="41">
        <f>IF($B$81=0,0,(SUM(($B$70*$H$70))+((1-$D$29)*$I$83))*[2]Poor!$B$81/$B$81)</f>
        <v>35969.406972062054</v>
      </c>
      <c r="U54" s="56"/>
      <c r="V54" s="56"/>
      <c r="W54" s="110"/>
      <c r="X54" s="118"/>
      <c r="Y54" s="110"/>
      <c r="Z54" s="116"/>
      <c r="AA54" s="147"/>
      <c r="AB54" s="116"/>
      <c r="AC54" s="147"/>
      <c r="AD54" s="11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IF([1]Summ!$A1090="","",[1]Summ!$A1090)</f>
        <v/>
      </c>
      <c r="B55" s="216">
        <f>IF([1]Summ!E1090="",0,[1]Summ!E1090)</f>
        <v>0</v>
      </c>
      <c r="C55" s="216">
        <f>IF([1]Summ!F1090="",0,[1]Summ!F1090)</f>
        <v>0</v>
      </c>
      <c r="D55" s="38">
        <f t="shared" si="67"/>
        <v>0</v>
      </c>
      <c r="E55" s="26">
        <v>1</v>
      </c>
      <c r="F55" s="26">
        <v>1</v>
      </c>
      <c r="G55" s="22">
        <f t="shared" si="59"/>
        <v>1.65</v>
      </c>
      <c r="H55" s="24">
        <f t="shared" si="68"/>
        <v>1</v>
      </c>
      <c r="I55" s="39">
        <f t="shared" si="69"/>
        <v>0</v>
      </c>
      <c r="J55" s="38">
        <f t="shared" si="70"/>
        <v>0</v>
      </c>
      <c r="K55" s="40">
        <f t="shared" si="71"/>
        <v>0</v>
      </c>
      <c r="L55" s="22">
        <f t="shared" si="72"/>
        <v>0</v>
      </c>
      <c r="M55" s="24">
        <f t="shared" si="73"/>
        <v>0</v>
      </c>
      <c r="N55" s="2"/>
      <c r="O55" s="2"/>
      <c r="P55" s="2"/>
      <c r="Q55" s="142" t="s">
        <v>138</v>
      </c>
      <c r="R55" s="41">
        <f>IF($B$81=0,0,(SUM(($B$70),($B$71*$H$71))+((1-$D$29)*$B$83))*[2]Poor!$B$81/$B$81)</f>
        <v>42445.473050733875</v>
      </c>
      <c r="S55" s="41">
        <f>IF($B$81=0,0,(SUM(($B$70*$H$70),($B$71*$H$71))+((1-$D$29)*$I$83))*[2]Poor!$B$81/$B$81)</f>
        <v>54352.233638728729</v>
      </c>
      <c r="T55" s="41">
        <f>IF($B$81=0,0,(SUM(($B$70*$H$70),($B$71*$H$71))+((1-$D$29)*$I$83))*[2]Poor!$B$81/$B$81)</f>
        <v>54352.233638728729</v>
      </c>
      <c r="U55" s="56"/>
      <c r="V55" s="56"/>
      <c r="W55" s="110"/>
      <c r="X55" s="118"/>
      <c r="Y55" s="110"/>
      <c r="Z55" s="116">
        <v>0.25</v>
      </c>
      <c r="AA55" s="147">
        <f t="shared" si="64"/>
        <v>0</v>
      </c>
      <c r="AB55" s="116">
        <v>0.25</v>
      </c>
      <c r="AC55" s="147">
        <f t="shared" si="65"/>
        <v>0</v>
      </c>
      <c r="AD55" s="116">
        <v>0.25</v>
      </c>
      <c r="AE55" s="147">
        <f t="shared" si="66"/>
        <v>0</v>
      </c>
      <c r="AF55" s="122">
        <f t="shared" si="57"/>
        <v>0.25</v>
      </c>
      <c r="AG55" s="147">
        <f t="shared" si="60"/>
        <v>0</v>
      </c>
      <c r="AH55" s="123">
        <f t="shared" si="61"/>
        <v>1</v>
      </c>
      <c r="AI55" s="112">
        <f t="shared" si="61"/>
        <v>0</v>
      </c>
      <c r="AJ55" s="148">
        <f t="shared" si="62"/>
        <v>0</v>
      </c>
      <c r="AK55" s="147">
        <f t="shared" si="63"/>
        <v>0</v>
      </c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IF([1]Summ!$A1091="","",[1]Summ!$A1091)</f>
        <v/>
      </c>
      <c r="B56" s="216">
        <f>IF([1]Summ!E1091="",0,[1]Summ!E1091)</f>
        <v>0</v>
      </c>
      <c r="C56" s="216">
        <f>IF([1]Summ!F1091="",0,[1]Summ!F1091)</f>
        <v>0</v>
      </c>
      <c r="D56" s="38">
        <f t="shared" si="67"/>
        <v>0</v>
      </c>
      <c r="E56" s="26">
        <v>1</v>
      </c>
      <c r="F56" s="26">
        <v>1</v>
      </c>
      <c r="G56" s="22">
        <f t="shared" si="59"/>
        <v>1.65</v>
      </c>
      <c r="H56" s="24">
        <f t="shared" si="68"/>
        <v>1</v>
      </c>
      <c r="I56" s="39">
        <f t="shared" si="69"/>
        <v>0</v>
      </c>
      <c r="J56" s="38">
        <f t="shared" si="70"/>
        <v>0</v>
      </c>
      <c r="K56" s="40">
        <f t="shared" si="71"/>
        <v>0</v>
      </c>
      <c r="L56" s="22">
        <f t="shared" si="72"/>
        <v>0</v>
      </c>
      <c r="M56" s="24">
        <f t="shared" si="73"/>
        <v>0</v>
      </c>
      <c r="N56" s="2"/>
      <c r="O56" s="2"/>
      <c r="P56" s="2"/>
      <c r="Q56" s="59" t="s">
        <v>139</v>
      </c>
      <c r="R56" s="41">
        <f>IF($B$81=0,0,(SUM(($B$70),($B$71*$H$71),($B$72*$H$72))+((1-$D$29)*$B$83))*[2]Poor!$B$81/$B$81)</f>
        <v>75183.393050733881</v>
      </c>
      <c r="S56" s="41">
        <f>IF($B$81=0,0,(SUM(($B$70*$H$70),($B$71*$H$71),($B$72*$H$72))+((1-$D$29)*$I$83))*[2]Poor!$B$81/$B$81)</f>
        <v>87090.15363872872</v>
      </c>
      <c r="T56" s="41">
        <f>IF($B$81=0,0,(SUM(($B$70*$H$70),($B$71*$H$71),($B$72*$H$72))+((1-$D$29)*$I$83))*[2]Poor!$B$81/$B$81)</f>
        <v>87090.15363872872</v>
      </c>
      <c r="U56" s="56"/>
      <c r="V56" s="56"/>
      <c r="W56" s="110"/>
      <c r="X56" s="118"/>
      <c r="Y56" s="110"/>
      <c r="Z56" s="116">
        <v>0.25</v>
      </c>
      <c r="AA56" s="147">
        <f t="shared" si="64"/>
        <v>0</v>
      </c>
      <c r="AB56" s="116">
        <v>0.25</v>
      </c>
      <c r="AC56" s="147">
        <f t="shared" si="65"/>
        <v>0</v>
      </c>
      <c r="AD56" s="116">
        <v>0.25</v>
      </c>
      <c r="AE56" s="147">
        <f t="shared" si="66"/>
        <v>0</v>
      </c>
      <c r="AF56" s="122">
        <f t="shared" si="57"/>
        <v>0.25</v>
      </c>
      <c r="AG56" s="147">
        <f t="shared" si="60"/>
        <v>0</v>
      </c>
      <c r="AH56" s="123">
        <f t="shared" si="61"/>
        <v>1</v>
      </c>
      <c r="AI56" s="112">
        <f t="shared" si="61"/>
        <v>0</v>
      </c>
      <c r="AJ56" s="148">
        <f t="shared" si="62"/>
        <v>0</v>
      </c>
      <c r="AK56" s="147">
        <f t="shared" si="63"/>
        <v>0</v>
      </c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IF([1]Summ!$A1092="","",[1]Summ!$A1092)</f>
        <v/>
      </c>
      <c r="B57" s="216">
        <f>IF([1]Summ!E1092="",0,[1]Summ!E1092)</f>
        <v>0</v>
      </c>
      <c r="C57" s="216">
        <f>IF([1]Summ!F1092="",0,[1]Summ!F1092)</f>
        <v>0</v>
      </c>
      <c r="D57" s="38">
        <f t="shared" si="67"/>
        <v>0</v>
      </c>
      <c r="E57" s="26">
        <v>1</v>
      </c>
      <c r="F57" s="26">
        <v>1</v>
      </c>
      <c r="G57" s="22">
        <f t="shared" si="59"/>
        <v>1.65</v>
      </c>
      <c r="H57" s="24">
        <f t="shared" si="68"/>
        <v>1</v>
      </c>
      <c r="I57" s="39">
        <f t="shared" si="69"/>
        <v>0</v>
      </c>
      <c r="J57" s="38">
        <f t="shared" si="70"/>
        <v>0</v>
      </c>
      <c r="K57" s="40">
        <f t="shared" si="71"/>
        <v>0</v>
      </c>
      <c r="L57" s="22">
        <f t="shared" si="72"/>
        <v>0</v>
      </c>
      <c r="M57" s="24">
        <f t="shared" si="73"/>
        <v>0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16">
        <v>0.25</v>
      </c>
      <c r="AA57" s="147">
        <f t="shared" si="64"/>
        <v>0</v>
      </c>
      <c r="AB57" s="116">
        <v>0.25</v>
      </c>
      <c r="AC57" s="147">
        <f t="shared" si="65"/>
        <v>0</v>
      </c>
      <c r="AD57" s="116">
        <v>0.25</v>
      </c>
      <c r="AE57" s="147">
        <f t="shared" si="66"/>
        <v>0</v>
      </c>
      <c r="AF57" s="122">
        <f t="shared" si="57"/>
        <v>0.25</v>
      </c>
      <c r="AG57" s="147">
        <f t="shared" si="60"/>
        <v>0</v>
      </c>
      <c r="AH57" s="123">
        <f t="shared" si="61"/>
        <v>1</v>
      </c>
      <c r="AI57" s="112">
        <f t="shared" si="61"/>
        <v>0</v>
      </c>
      <c r="AJ57" s="148">
        <f t="shared" si="62"/>
        <v>0</v>
      </c>
      <c r="AK57" s="147">
        <f t="shared" si="63"/>
        <v>0</v>
      </c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IF([1]Summ!$A1093="","",[1]Summ!$A1093)</f>
        <v/>
      </c>
      <c r="B58" s="216">
        <f>IF([1]Summ!E1093="",0,[1]Summ!E1093)</f>
        <v>0</v>
      </c>
      <c r="C58" s="216">
        <f>IF([1]Summ!F1093="",0,[1]Summ!F1093)</f>
        <v>0</v>
      </c>
      <c r="D58" s="38">
        <f t="shared" si="67"/>
        <v>0</v>
      </c>
      <c r="E58" s="26">
        <v>1</v>
      </c>
      <c r="F58" s="26">
        <v>1</v>
      </c>
      <c r="G58" s="22">
        <f t="shared" si="59"/>
        <v>1.65</v>
      </c>
      <c r="H58" s="24">
        <f t="shared" si="68"/>
        <v>1</v>
      </c>
      <c r="I58" s="39">
        <f t="shared" si="69"/>
        <v>0</v>
      </c>
      <c r="J58" s="38">
        <f t="shared" si="70"/>
        <v>0</v>
      </c>
      <c r="K58" s="40">
        <f t="shared" si="71"/>
        <v>0</v>
      </c>
      <c r="L58" s="22">
        <f t="shared" si="72"/>
        <v>0</v>
      </c>
      <c r="M58" s="24">
        <f t="shared" si="73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16">
        <v>0.25</v>
      </c>
      <c r="AA58" s="147">
        <f t="shared" si="64"/>
        <v>0</v>
      </c>
      <c r="AB58" s="116">
        <v>0.25</v>
      </c>
      <c r="AC58" s="147">
        <f t="shared" si="65"/>
        <v>0</v>
      </c>
      <c r="AD58" s="116">
        <v>0.25</v>
      </c>
      <c r="AE58" s="147">
        <f t="shared" si="66"/>
        <v>0</v>
      </c>
      <c r="AF58" s="122">
        <f t="shared" si="57"/>
        <v>0.25</v>
      </c>
      <c r="AG58" s="147">
        <f t="shared" si="60"/>
        <v>0</v>
      </c>
      <c r="AH58" s="123">
        <f t="shared" si="61"/>
        <v>1</v>
      </c>
      <c r="AI58" s="112">
        <f t="shared" si="61"/>
        <v>0</v>
      </c>
      <c r="AJ58" s="148">
        <f t="shared" si="62"/>
        <v>0</v>
      </c>
      <c r="AK58" s="147">
        <f t="shared" si="63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IF([1]Summ!$A1094="","",[1]Summ!$A1094)</f>
        <v/>
      </c>
      <c r="B59" s="216">
        <f>IF([1]Summ!E1094="",0,[1]Summ!E1094)</f>
        <v>0</v>
      </c>
      <c r="C59" s="216">
        <f>IF([1]Summ!F1094="",0,[1]Summ!F1094)</f>
        <v>0</v>
      </c>
      <c r="D59" s="38">
        <f t="shared" si="67"/>
        <v>0</v>
      </c>
      <c r="E59" s="26">
        <v>1</v>
      </c>
      <c r="F59" s="26">
        <v>1</v>
      </c>
      <c r="G59" s="22">
        <f t="shared" si="59"/>
        <v>1.65</v>
      </c>
      <c r="H59" s="24">
        <f t="shared" si="68"/>
        <v>1</v>
      </c>
      <c r="I59" s="39">
        <f t="shared" si="69"/>
        <v>0</v>
      </c>
      <c r="J59" s="38">
        <f t="shared" si="70"/>
        <v>0</v>
      </c>
      <c r="K59" s="40">
        <f t="shared" si="71"/>
        <v>0</v>
      </c>
      <c r="L59" s="22">
        <f t="shared" si="72"/>
        <v>0</v>
      </c>
      <c r="M59" s="24">
        <f t="shared" si="73"/>
        <v>0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16">
        <v>0.25</v>
      </c>
      <c r="AA59" s="147">
        <f t="shared" si="64"/>
        <v>0</v>
      </c>
      <c r="AB59" s="116">
        <v>0.25</v>
      </c>
      <c r="AC59" s="147">
        <f t="shared" si="65"/>
        <v>0</v>
      </c>
      <c r="AD59" s="116">
        <v>0.25</v>
      </c>
      <c r="AE59" s="147">
        <f t="shared" si="66"/>
        <v>0</v>
      </c>
      <c r="AF59" s="122">
        <f t="shared" si="57"/>
        <v>0.25</v>
      </c>
      <c r="AG59" s="147">
        <f t="shared" si="60"/>
        <v>0</v>
      </c>
      <c r="AH59" s="123">
        <f t="shared" ref="AH59:AI64" si="74">SUM(Z59,AB59,AD59,AF59)</f>
        <v>1</v>
      </c>
      <c r="AI59" s="112">
        <f t="shared" si="74"/>
        <v>0</v>
      </c>
      <c r="AJ59" s="148">
        <f t="shared" si="62"/>
        <v>0</v>
      </c>
      <c r="AK59" s="147">
        <f t="shared" si="63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IF([1]Summ!$A1095="","",[1]Summ!$A1095)</f>
        <v/>
      </c>
      <c r="B60" s="216">
        <f>IF([1]Summ!E1095="",0,[1]Summ!E1095)</f>
        <v>0</v>
      </c>
      <c r="C60" s="216">
        <f>IF([1]Summ!F1095="",0,[1]Summ!F1095)</f>
        <v>0</v>
      </c>
      <c r="D60" s="38">
        <f t="shared" si="67"/>
        <v>0</v>
      </c>
      <c r="E60" s="26">
        <v>1</v>
      </c>
      <c r="F60" s="26">
        <v>1</v>
      </c>
      <c r="G60" s="22">
        <f t="shared" si="59"/>
        <v>1.65</v>
      </c>
      <c r="H60" s="24">
        <f t="shared" si="68"/>
        <v>1</v>
      </c>
      <c r="I60" s="39">
        <f t="shared" si="69"/>
        <v>0</v>
      </c>
      <c r="J60" s="38">
        <f t="shared" si="70"/>
        <v>0</v>
      </c>
      <c r="K60" s="40">
        <f t="shared" si="71"/>
        <v>0</v>
      </c>
      <c r="L60" s="22">
        <f t="shared" si="72"/>
        <v>0</v>
      </c>
      <c r="M60" s="24">
        <f t="shared" si="73"/>
        <v>0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16">
        <v>0.25</v>
      </c>
      <c r="AA60" s="147">
        <f t="shared" si="64"/>
        <v>0</v>
      </c>
      <c r="AB60" s="116">
        <v>0.25</v>
      </c>
      <c r="AC60" s="147">
        <f t="shared" si="65"/>
        <v>0</v>
      </c>
      <c r="AD60" s="116">
        <v>0.25</v>
      </c>
      <c r="AE60" s="147">
        <f t="shared" si="66"/>
        <v>0</v>
      </c>
      <c r="AF60" s="122">
        <f t="shared" si="57"/>
        <v>0.25</v>
      </c>
      <c r="AG60" s="147">
        <f t="shared" si="60"/>
        <v>0</v>
      </c>
      <c r="AH60" s="123">
        <f t="shared" si="74"/>
        <v>1</v>
      </c>
      <c r="AI60" s="112">
        <f t="shared" si="74"/>
        <v>0</v>
      </c>
      <c r="AJ60" s="148">
        <f t="shared" si="62"/>
        <v>0</v>
      </c>
      <c r="AK60" s="147">
        <f t="shared" si="63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IF([1]Summ!$A1096="","",[1]Summ!$A1096)</f>
        <v/>
      </c>
      <c r="B61" s="216">
        <f>IF([1]Summ!E1096="",0,[1]Summ!E1096)</f>
        <v>0</v>
      </c>
      <c r="C61" s="216">
        <f>IF([1]Summ!F1096="",0,[1]Summ!F1096)</f>
        <v>0</v>
      </c>
      <c r="D61" s="38">
        <f t="shared" si="67"/>
        <v>0</v>
      </c>
      <c r="E61" s="26">
        <v>1</v>
      </c>
      <c r="F61" s="26">
        <v>1</v>
      </c>
      <c r="G61" s="22">
        <f t="shared" si="59"/>
        <v>1.65</v>
      </c>
      <c r="H61" s="24">
        <f t="shared" si="68"/>
        <v>1</v>
      </c>
      <c r="I61" s="39">
        <f t="shared" si="69"/>
        <v>0</v>
      </c>
      <c r="J61" s="38">
        <f t="shared" si="70"/>
        <v>0</v>
      </c>
      <c r="K61" s="40">
        <f t="shared" si="71"/>
        <v>0</v>
      </c>
      <c r="L61" s="22">
        <f t="shared" si="72"/>
        <v>0</v>
      </c>
      <c r="M61" s="24">
        <f t="shared" si="73"/>
        <v>0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16">
        <v>0.25</v>
      </c>
      <c r="AA61" s="147">
        <f t="shared" si="64"/>
        <v>0</v>
      </c>
      <c r="AB61" s="116">
        <v>0.25</v>
      </c>
      <c r="AC61" s="147">
        <f t="shared" si="65"/>
        <v>0</v>
      </c>
      <c r="AD61" s="116">
        <v>0.25</v>
      </c>
      <c r="AE61" s="147">
        <f t="shared" si="66"/>
        <v>0</v>
      </c>
      <c r="AF61" s="122">
        <f t="shared" si="57"/>
        <v>0.25</v>
      </c>
      <c r="AG61" s="147">
        <f t="shared" si="60"/>
        <v>0</v>
      </c>
      <c r="AH61" s="123">
        <f t="shared" si="74"/>
        <v>1</v>
      </c>
      <c r="AI61" s="112">
        <f t="shared" si="74"/>
        <v>0</v>
      </c>
      <c r="AJ61" s="148">
        <f t="shared" si="62"/>
        <v>0</v>
      </c>
      <c r="AK61" s="147">
        <f t="shared" si="63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IF([1]Summ!$A1097="","",[1]Summ!$A1097)</f>
        <v/>
      </c>
      <c r="B62" s="216">
        <f>IF([1]Summ!E1097="",0,[1]Summ!E1097)</f>
        <v>0</v>
      </c>
      <c r="C62" s="216">
        <f>IF([1]Summ!F1097="",0,[1]Summ!F1097)</f>
        <v>0</v>
      </c>
      <c r="D62" s="38">
        <f t="shared" si="67"/>
        <v>0</v>
      </c>
      <c r="E62" s="26">
        <v>1</v>
      </c>
      <c r="F62" s="26">
        <v>1</v>
      </c>
      <c r="G62" s="22">
        <f t="shared" si="59"/>
        <v>1.65</v>
      </c>
      <c r="H62" s="24">
        <f t="shared" si="68"/>
        <v>1</v>
      </c>
      <c r="I62" s="39">
        <f t="shared" si="69"/>
        <v>0</v>
      </c>
      <c r="J62" s="38">
        <f t="shared" si="70"/>
        <v>0</v>
      </c>
      <c r="K62" s="40">
        <f t="shared" si="71"/>
        <v>0</v>
      </c>
      <c r="L62" s="22">
        <f t="shared" si="72"/>
        <v>0</v>
      </c>
      <c r="M62" s="24">
        <f t="shared" si="73"/>
        <v>0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16">
        <v>0.25</v>
      </c>
      <c r="AA62" s="147">
        <f t="shared" si="64"/>
        <v>0</v>
      </c>
      <c r="AB62" s="116">
        <v>0.25</v>
      </c>
      <c r="AC62" s="147">
        <f t="shared" si="65"/>
        <v>0</v>
      </c>
      <c r="AD62" s="116">
        <v>0.25</v>
      </c>
      <c r="AE62" s="147">
        <f t="shared" si="66"/>
        <v>0</v>
      </c>
      <c r="AF62" s="122">
        <f t="shared" si="57"/>
        <v>0.25</v>
      </c>
      <c r="AG62" s="147">
        <f t="shared" si="60"/>
        <v>0</v>
      </c>
      <c r="AH62" s="123">
        <f t="shared" si="74"/>
        <v>1</v>
      </c>
      <c r="AI62" s="112">
        <f t="shared" si="74"/>
        <v>0</v>
      </c>
      <c r="AJ62" s="148">
        <f t="shared" si="62"/>
        <v>0</v>
      </c>
      <c r="AK62" s="147">
        <f t="shared" si="63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IF([1]Summ!$A1098="","",[1]Summ!$A1098)</f>
        <v/>
      </c>
      <c r="B63" s="216">
        <f>IF([1]Summ!E1098="",0,[1]Summ!E1098)</f>
        <v>0</v>
      </c>
      <c r="C63" s="216">
        <f>IF([1]Summ!F1098="",0,[1]Summ!F1098)</f>
        <v>0</v>
      </c>
      <c r="D63" s="38">
        <f t="shared" si="67"/>
        <v>0</v>
      </c>
      <c r="E63" s="26">
        <v>1</v>
      </c>
      <c r="F63" s="26">
        <v>1</v>
      </c>
      <c r="G63" s="22">
        <f t="shared" si="59"/>
        <v>1.65</v>
      </c>
      <c r="H63" s="24">
        <f t="shared" si="68"/>
        <v>1</v>
      </c>
      <c r="I63" s="39">
        <f t="shared" si="69"/>
        <v>0</v>
      </c>
      <c r="J63" s="38">
        <f t="shared" si="70"/>
        <v>0</v>
      </c>
      <c r="K63" s="40">
        <f t="shared" si="71"/>
        <v>0</v>
      </c>
      <c r="L63" s="22">
        <f t="shared" si="72"/>
        <v>0</v>
      </c>
      <c r="M63" s="24">
        <f t="shared" si="73"/>
        <v>0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16">
        <v>0.25</v>
      </c>
      <c r="AA63" s="147">
        <f t="shared" si="64"/>
        <v>0</v>
      </c>
      <c r="AB63" s="116">
        <v>0.25</v>
      </c>
      <c r="AC63" s="147">
        <f t="shared" si="65"/>
        <v>0</v>
      </c>
      <c r="AD63" s="116">
        <v>0.25</v>
      </c>
      <c r="AE63" s="147">
        <f t="shared" si="66"/>
        <v>0</v>
      </c>
      <c r="AF63" s="122">
        <f t="shared" si="57"/>
        <v>0.25</v>
      </c>
      <c r="AG63" s="147">
        <f t="shared" si="60"/>
        <v>0</v>
      </c>
      <c r="AH63" s="123">
        <f t="shared" si="74"/>
        <v>1</v>
      </c>
      <c r="AI63" s="112">
        <f t="shared" si="74"/>
        <v>0</v>
      </c>
      <c r="AJ63" s="148">
        <f t="shared" si="62"/>
        <v>0</v>
      </c>
      <c r="AK63" s="147">
        <f t="shared" si="63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IF([1]Summ!$A1099="","",[1]Summ!$A1099)</f>
        <v/>
      </c>
      <c r="B64" s="216">
        <f>IF([1]Summ!E1099="",0,[1]Summ!E1099)</f>
        <v>0</v>
      </c>
      <c r="C64" s="216">
        <f>IF([1]Summ!F1099="",0,[1]Summ!F1099)</f>
        <v>0</v>
      </c>
      <c r="D64" s="38">
        <f t="shared" si="67"/>
        <v>0</v>
      </c>
      <c r="E64" s="26">
        <v>1</v>
      </c>
      <c r="F64" s="26">
        <v>1</v>
      </c>
      <c r="G64" s="22">
        <f t="shared" si="59"/>
        <v>1.65</v>
      </c>
      <c r="H64" s="24">
        <f t="shared" si="68"/>
        <v>1</v>
      </c>
      <c r="I64" s="39">
        <f t="shared" si="69"/>
        <v>0</v>
      </c>
      <c r="J64" s="38">
        <f t="shared" si="70"/>
        <v>0</v>
      </c>
      <c r="K64" s="40">
        <f t="shared" si="71"/>
        <v>0</v>
      </c>
      <c r="L64" s="22">
        <f t="shared" si="72"/>
        <v>0</v>
      </c>
      <c r="M64" s="24">
        <f t="shared" si="73"/>
        <v>0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16">
        <v>0.25</v>
      </c>
      <c r="AA64" s="149">
        <f t="shared" si="64"/>
        <v>0</v>
      </c>
      <c r="AB64" s="116">
        <v>0.25</v>
      </c>
      <c r="AC64" s="149">
        <f t="shared" si="65"/>
        <v>0</v>
      </c>
      <c r="AD64" s="116">
        <v>0.25</v>
      </c>
      <c r="AE64" s="149">
        <f t="shared" si="66"/>
        <v>0</v>
      </c>
      <c r="AF64" s="150">
        <f t="shared" si="57"/>
        <v>0.25</v>
      </c>
      <c r="AG64" s="149">
        <f t="shared" si="60"/>
        <v>0</v>
      </c>
      <c r="AH64" s="123">
        <f t="shared" si="74"/>
        <v>1</v>
      </c>
      <c r="AI64" s="112">
        <f t="shared" si="74"/>
        <v>0</v>
      </c>
      <c r="AJ64" s="151">
        <f t="shared" si="62"/>
        <v>0</v>
      </c>
      <c r="AK64" s="149">
        <f t="shared" si="63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41" t="s">
        <v>32</v>
      </c>
      <c r="B65" s="41">
        <f>SUM(B37:B64)</f>
        <v>53306</v>
      </c>
      <c r="C65" s="41">
        <f>SUM(C37:C64)</f>
        <v>-2660</v>
      </c>
      <c r="D65" s="42">
        <f>SUM(D37:D64)</f>
        <v>50646</v>
      </c>
      <c r="E65" s="32"/>
      <c r="F65" s="32"/>
      <c r="G65" s="32"/>
      <c r="H65" s="31"/>
      <c r="I65" s="39">
        <f>SUM(I37:I64)</f>
        <v>25051.179999999997</v>
      </c>
      <c r="J65" s="39">
        <f>SUM(J37:J64)</f>
        <v>25051.179999999997</v>
      </c>
      <c r="K65" s="40">
        <f>SUM(K37:K64)</f>
        <v>1</v>
      </c>
      <c r="L65" s="22">
        <f>SUM(L37:L64)</f>
        <v>0.49846133643492285</v>
      </c>
      <c r="M65" s="24">
        <f>SUM(M37:M64)</f>
        <v>0.4699504746182418</v>
      </c>
      <c r="N65" s="2"/>
      <c r="O65" s="2"/>
      <c r="P65" s="2"/>
      <c r="Q65" s="56"/>
      <c r="R65" s="56"/>
      <c r="S65" s="56"/>
      <c r="T65" s="56"/>
      <c r="U65" s="56"/>
      <c r="V65" s="56"/>
      <c r="W65" s="110"/>
      <c r="X65" s="152"/>
      <c r="Y65" s="110"/>
      <c r="Z65" s="137"/>
      <c r="AA65" s="153">
        <f>SUM(AA37:AA64)</f>
        <v>5070.7</v>
      </c>
      <c r="AB65" s="137"/>
      <c r="AC65" s="153">
        <f>SUM(AC37:AC64)</f>
        <v>688.2</v>
      </c>
      <c r="AD65" s="137"/>
      <c r="AE65" s="153">
        <f>SUM(AE37:AE64)</f>
        <v>898.2</v>
      </c>
      <c r="AF65" s="137"/>
      <c r="AG65" s="153">
        <f>SUM(AG37:AG64)</f>
        <v>793.2</v>
      </c>
      <c r="AH65" s="137"/>
      <c r="AI65" s="153">
        <f>SUM(AI37:AI64)</f>
        <v>7450.3</v>
      </c>
      <c r="AJ65" s="153">
        <f>SUM(AJ37:AJ64)</f>
        <v>5758.9</v>
      </c>
      <c r="AK65" s="153">
        <f>SUM(AK37:AK64)</f>
        <v>1691.4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43"/>
      <c r="B66" s="43"/>
      <c r="C66" s="43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56"/>
      <c r="R66" s="56"/>
      <c r="S66" s="56"/>
      <c r="T66" s="56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15" t="s">
        <v>33</v>
      </c>
      <c r="B67" s="46"/>
      <c r="C67" s="46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56"/>
      <c r="R67" s="56"/>
      <c r="S67" s="56"/>
      <c r="T67" s="56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49"/>
      <c r="B68" s="46" t="s">
        <v>7</v>
      </c>
      <c r="C68" s="46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56"/>
      <c r="R68" s="56"/>
      <c r="S68" s="56"/>
      <c r="T68" s="56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46" t="s">
        <v>30</v>
      </c>
      <c r="B69" s="46" t="s">
        <v>35</v>
      </c>
      <c r="C69" s="46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56"/>
      <c r="R69" s="56"/>
      <c r="S69" s="56"/>
      <c r="T69" s="56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SUM([1]Summ!E1031)</f>
        <v>14935.838246595316</v>
      </c>
      <c r="C70" s="46"/>
      <c r="D70" s="38"/>
      <c r="E70" s="26">
        <v>1</v>
      </c>
      <c r="F70" s="26">
        <v>1.4</v>
      </c>
      <c r="G70" s="22"/>
      <c r="H70" s="24">
        <f>(E70*F70)</f>
        <v>1.4</v>
      </c>
      <c r="I70" s="39">
        <f>I124*I$83</f>
        <v>20910.17354523344</v>
      </c>
      <c r="J70" s="51">
        <f t="shared" ref="J70:J77" si="75">J124*I$83</f>
        <v>20910.17354523344</v>
      </c>
      <c r="K70" s="40">
        <f>B70/B$76</f>
        <v>0.2801905647881161</v>
      </c>
      <c r="L70" s="22">
        <f t="shared" ref="L70:L75" si="76">(L124*G$37*F$9/F$7)/B$130</f>
        <v>0.39226679070336246</v>
      </c>
      <c r="M70" s="24">
        <f>J70/B$76</f>
        <v>0.39226679070336246</v>
      </c>
      <c r="N70" s="2"/>
      <c r="O70" s="2"/>
      <c r="P70" s="2"/>
      <c r="Q70" s="56"/>
      <c r="R70" s="56"/>
      <c r="S70" s="56"/>
      <c r="T70" s="56"/>
      <c r="U70" s="56"/>
      <c r="V70" s="56"/>
      <c r="W70" s="110"/>
      <c r="X70" s="118"/>
      <c r="Y70" s="110"/>
      <c r="Z70" s="116">
        <v>0.25</v>
      </c>
      <c r="AA70" s="147">
        <f>$J70*Z70</f>
        <v>5227.5433863083599</v>
      </c>
      <c r="AB70" s="116">
        <v>0.25</v>
      </c>
      <c r="AC70" s="147">
        <f>$J70*AB70</f>
        <v>5227.5433863083599</v>
      </c>
      <c r="AD70" s="116">
        <v>0.25</v>
      </c>
      <c r="AE70" s="147">
        <f>$J70*AD70</f>
        <v>5227.5433863083599</v>
      </c>
      <c r="AF70" s="122">
        <f>1-SUM(Z70,AB70,AD70)</f>
        <v>0.25</v>
      </c>
      <c r="AG70" s="147">
        <f>$J70*AF70</f>
        <v>5227.5433863083599</v>
      </c>
      <c r="AH70" s="155">
        <f>SUM(Z70,AB70,AD70,AF70)</f>
        <v>1</v>
      </c>
      <c r="AI70" s="147">
        <f>SUM(AA70,AC70,AE70,AG70)</f>
        <v>20910.17354523344</v>
      </c>
      <c r="AJ70" s="148">
        <f>(AA70+AC70)</f>
        <v>10455.08677261672</v>
      </c>
      <c r="AK70" s="147">
        <f>(AE70+AG70)</f>
        <v>10455.08677261672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SUM([1]Summ!E1032)</f>
        <v>15578.666666666668</v>
      </c>
      <c r="C71" s="46"/>
      <c r="D71" s="38"/>
      <c r="E71" s="26">
        <v>1</v>
      </c>
      <c r="F71" s="26">
        <v>1.18</v>
      </c>
      <c r="G71" s="22"/>
      <c r="H71" s="24">
        <f t="shared" ref="H71:H72" si="77">(E71*F71)</f>
        <v>1.18</v>
      </c>
      <c r="I71" s="39">
        <f>I125*I$83</f>
        <v>4141.0064547665579</v>
      </c>
      <c r="J71" s="51">
        <f t="shared" si="75"/>
        <v>4141.0064547665579</v>
      </c>
      <c r="K71" s="40">
        <f t="shared" ref="K71:K72" si="78">B71/B$76</f>
        <v>0.29224977801123075</v>
      </c>
      <c r="L71" s="22">
        <f t="shared" si="76"/>
        <v>0.1061945457315604</v>
      </c>
      <c r="M71" s="24">
        <f t="shared" ref="M71:M72" si="79">J71/B$76</f>
        <v>7.7683683914879342E-2</v>
      </c>
      <c r="N71" s="2"/>
      <c r="O71" s="2"/>
      <c r="P71" s="2"/>
      <c r="Q71" s="56"/>
      <c r="R71" s="56"/>
      <c r="S71" s="56"/>
      <c r="T71" s="56"/>
      <c r="U71" s="56"/>
      <c r="V71" s="56"/>
      <c r="W71" s="110"/>
      <c r="X71" s="118"/>
      <c r="Y71" s="110"/>
      <c r="Z71" s="116"/>
      <c r="AA71" s="147"/>
      <c r="AB71" s="116"/>
      <c r="AC71" s="147"/>
      <c r="AD71" s="116"/>
      <c r="AE71" s="147"/>
      <c r="AF71" s="122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SUM([1]Summ!E1033)</f>
        <v>27744</v>
      </c>
      <c r="C72" s="46"/>
      <c r="D72" s="38"/>
      <c r="E72" s="26">
        <v>1</v>
      </c>
      <c r="F72" s="26">
        <v>1.18</v>
      </c>
      <c r="G72" s="22"/>
      <c r="H72" s="24">
        <f t="shared" si="77"/>
        <v>1.18</v>
      </c>
      <c r="I72" s="39">
        <f>I126*I$83</f>
        <v>0</v>
      </c>
      <c r="J72" s="51">
        <f t="shared" si="75"/>
        <v>0</v>
      </c>
      <c r="K72" s="40">
        <f t="shared" si="78"/>
        <v>0.52046673920384201</v>
      </c>
      <c r="L72" s="22">
        <f t="shared" si="76"/>
        <v>0</v>
      </c>
      <c r="M72" s="24">
        <f t="shared" si="79"/>
        <v>0</v>
      </c>
      <c r="N72" s="2"/>
      <c r="O72" s="2"/>
      <c r="P72" s="2"/>
      <c r="Q72" s="56"/>
      <c r="R72" s="56"/>
      <c r="S72" s="56"/>
      <c r="T72" s="56"/>
      <c r="U72" s="56"/>
      <c r="V72" s="56"/>
      <c r="W72" s="110"/>
      <c r="X72" s="118"/>
      <c r="Y72" s="110"/>
      <c r="Z72" s="116"/>
      <c r="AA72" s="147"/>
      <c r="AB72" s="116"/>
      <c r="AC72" s="147"/>
      <c r="AD72" s="116"/>
      <c r="AE72" s="147"/>
      <c r="AF72" s="122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SUM([1]Summ!E1034)</f>
        <v>4656</v>
      </c>
      <c r="C73" s="46"/>
      <c r="D73" s="38"/>
      <c r="E73" s="26">
        <v>1</v>
      </c>
      <c r="F73" s="26">
        <v>1.18</v>
      </c>
      <c r="G73" s="22"/>
      <c r="H73" s="24">
        <f>(E73*F73)</f>
        <v>1.18</v>
      </c>
      <c r="I73" s="39">
        <f>I127*I$83</f>
        <v>0</v>
      </c>
      <c r="J73" s="51">
        <f t="shared" si="75"/>
        <v>0</v>
      </c>
      <c r="K73" s="40">
        <f>B73/B$76</f>
        <v>8.7344764191648216E-2</v>
      </c>
      <c r="L73" s="22">
        <f t="shared" si="76"/>
        <v>0</v>
      </c>
      <c r="M73" s="24">
        <f>J73/B$76</f>
        <v>0</v>
      </c>
      <c r="O73" s="2"/>
      <c r="P73" s="2"/>
      <c r="Q73" s="56"/>
      <c r="R73" s="56"/>
      <c r="S73" s="56"/>
      <c r="T73" s="56"/>
      <c r="U73" s="56"/>
      <c r="V73" s="56"/>
      <c r="W73" s="110"/>
      <c r="X73" s="118"/>
      <c r="Y73" s="110"/>
      <c r="Z73" s="116">
        <v>0.09</v>
      </c>
      <c r="AA73" s="147">
        <f>$H$73*$B$73*Z73</f>
        <v>494.46719999999999</v>
      </c>
      <c r="AB73" s="116">
        <v>0.09</v>
      </c>
      <c r="AC73" s="147">
        <f>$H$73*$B$73*AB73</f>
        <v>494.46719999999999</v>
      </c>
      <c r="AD73" s="116">
        <v>0.23</v>
      </c>
      <c r="AE73" s="147">
        <f>$H$73*$B$73*AD73</f>
        <v>1263.6384</v>
      </c>
      <c r="AF73" s="122">
        <f>1-SUM(Z73,AB73,AD73)</f>
        <v>0.59</v>
      </c>
      <c r="AG73" s="147">
        <f>$H$73*$B$73*AF73</f>
        <v>3241.5072</v>
      </c>
      <c r="AH73" s="155">
        <f>SUM(Z73,AB73,AD73,AF73)</f>
        <v>1</v>
      </c>
      <c r="AI73" s="147">
        <f>SUM(AA73,AC73,AE73,AG73)</f>
        <v>5494.08</v>
      </c>
      <c r="AJ73" s="148">
        <f>(AA73+AC73)</f>
        <v>988.93439999999998</v>
      </c>
      <c r="AK73" s="147">
        <f>(AE73+AG73)</f>
        <v>4505.1455999999998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52">
        <f>B30*B83</f>
        <v>6939.9999999999991</v>
      </c>
      <c r="C74" s="46"/>
      <c r="D74" s="38"/>
      <c r="E74" s="32"/>
      <c r="F74" s="32"/>
      <c r="G74" s="32"/>
      <c r="H74" s="31"/>
      <c r="I74" s="39">
        <f>I128*I$83</f>
        <v>4141.0064547665579</v>
      </c>
      <c r="J74" s="51">
        <f t="shared" si="75"/>
        <v>4141.0064547665579</v>
      </c>
      <c r="K74" s="40">
        <f>B74/B$76</f>
        <v>0.1301917232581698</v>
      </c>
      <c r="L74" s="22">
        <f t="shared" si="76"/>
        <v>1.9207376609811505E-2</v>
      </c>
      <c r="M74" s="24">
        <f>J74/B$76</f>
        <v>7.7683683914879342E-2</v>
      </c>
      <c r="O74" s="2"/>
      <c r="P74" s="2"/>
      <c r="Q74" s="56"/>
      <c r="R74" s="56"/>
      <c r="S74" s="56"/>
      <c r="T74" s="56"/>
      <c r="U74" s="56"/>
      <c r="V74" s="56"/>
      <c r="W74" s="110"/>
      <c r="X74" s="118"/>
      <c r="Y74" s="110"/>
      <c r="Z74" s="156"/>
      <c r="AA74" s="147">
        <f>AA30*$I$83/4</f>
        <v>-156.8433863083601</v>
      </c>
      <c r="AB74" s="156"/>
      <c r="AC74" s="147">
        <f>AC30*$I$83/4</f>
        <v>-4539.3433863083601</v>
      </c>
      <c r="AD74" s="156"/>
      <c r="AE74" s="147">
        <f>AE30*$I$83/4</f>
        <v>-4329.3433863083601</v>
      </c>
      <c r="AF74" s="156"/>
      <c r="AG74" s="147">
        <f>AG30*$I$83/4</f>
        <v>-4434.3433863083601</v>
      </c>
      <c r="AH74" s="155"/>
      <c r="AI74" s="147">
        <f>SUM(AA74,AC74,AE74,AG74)</f>
        <v>-13459.87354523344</v>
      </c>
      <c r="AJ74" s="148">
        <f>(AA74+AC74)</f>
        <v>-4696.1867726167202</v>
      </c>
      <c r="AK74" s="147">
        <f>(AE74+AG74)</f>
        <v>-8763.6867726167202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46"/>
      <c r="D75" s="38"/>
      <c r="E75" s="32"/>
      <c r="F75" s="32"/>
      <c r="G75" s="32"/>
      <c r="H75" s="31"/>
      <c r="I75" s="47"/>
      <c r="J75" s="51">
        <f t="shared" si="75"/>
        <v>0</v>
      </c>
      <c r="K75" s="40">
        <f>B75/B$76</f>
        <v>0</v>
      </c>
      <c r="L75" s="22">
        <f t="shared" si="76"/>
        <v>0</v>
      </c>
      <c r="M75" s="24">
        <f>J75/B$76</f>
        <v>0</v>
      </c>
      <c r="O75" s="2"/>
      <c r="P75" s="2"/>
      <c r="Q75" s="56"/>
      <c r="R75" s="56"/>
      <c r="S75" s="56"/>
      <c r="T75" s="56"/>
      <c r="U75" s="56"/>
      <c r="V75" s="56"/>
      <c r="W75" s="110"/>
      <c r="X75" s="157"/>
      <c r="Y75" s="161" t="s">
        <v>104</v>
      </c>
      <c r="Z75" s="158"/>
      <c r="AA75" s="149">
        <f>AA79-AA74</f>
        <v>0</v>
      </c>
      <c r="AB75" s="158"/>
      <c r="AC75" s="149">
        <f>AA75+AC65-SUM(AC70,AC74)</f>
        <v>0</v>
      </c>
      <c r="AD75" s="158"/>
      <c r="AE75" s="149">
        <f>AC75+AE65-SUM(AE70,AE74)</f>
        <v>0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0</v>
      </c>
      <c r="AJ75" s="151">
        <f>AJ76-SUM(AJ70,AJ74)</f>
        <v>0</v>
      </c>
      <c r="AK75" s="149">
        <f>AJ75+AK76-SUM(AK70,AK74)</f>
        <v>0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52">
        <f>B65</f>
        <v>53306</v>
      </c>
      <c r="C76" s="46"/>
      <c r="D76" s="38"/>
      <c r="E76" s="32"/>
      <c r="F76" s="32"/>
      <c r="G76" s="32"/>
      <c r="H76" s="31"/>
      <c r="I76" s="39">
        <f>I130*I$83</f>
        <v>25051.18</v>
      </c>
      <c r="J76" s="51">
        <f t="shared" si="75"/>
        <v>25051.18</v>
      </c>
      <c r="K76" s="40">
        <f>SUM(K70:K75)</f>
        <v>1.310443569453007</v>
      </c>
      <c r="L76" s="22">
        <f>SUM(L70:L75)</f>
        <v>0.51766871304473439</v>
      </c>
      <c r="M76" s="24">
        <f>SUM(M70:M75)</f>
        <v>0.54763415853312114</v>
      </c>
      <c r="O76" s="2"/>
      <c r="P76" s="2"/>
      <c r="Q76" s="56"/>
      <c r="R76" s="56"/>
      <c r="S76" s="56"/>
      <c r="T76" s="56"/>
      <c r="U76" s="56"/>
      <c r="V76" s="56"/>
      <c r="W76" s="110"/>
      <c r="X76" s="189"/>
      <c r="Y76" s="189"/>
      <c r="Z76" s="137"/>
      <c r="AA76" s="154">
        <f>AA65</f>
        <v>5070.7</v>
      </c>
      <c r="AB76" s="137"/>
      <c r="AC76" s="153">
        <f>AC65</f>
        <v>688.2</v>
      </c>
      <c r="AD76" s="137"/>
      <c r="AE76" s="153">
        <f>AE65</f>
        <v>898.2</v>
      </c>
      <c r="AF76" s="137"/>
      <c r="AG76" s="153">
        <f>AG65</f>
        <v>793.2</v>
      </c>
      <c r="AH76" s="137"/>
      <c r="AI76" s="153">
        <f>SUM(AA76,AC76,AE76,AG76)</f>
        <v>7450.2999999999993</v>
      </c>
      <c r="AJ76" s="154">
        <f>SUM(AA76,AC76)</f>
        <v>5758.9</v>
      </c>
      <c r="AK76" s="154">
        <f>SUM(AE76,AG76)</f>
        <v>1691.4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52"/>
      <c r="C77" s="46"/>
      <c r="D77" s="38"/>
      <c r="E77" s="32"/>
      <c r="F77" s="32"/>
      <c r="G77" s="32"/>
      <c r="H77" s="31"/>
      <c r="I77" s="39">
        <f>I131*I$83</f>
        <v>18382.826666666671</v>
      </c>
      <c r="J77" s="100">
        <f t="shared" si="75"/>
        <v>18382.826666666671</v>
      </c>
      <c r="K77" s="40"/>
      <c r="L77" s="22">
        <f>-(L131*G$37*F$9/F$7)/B$130</f>
        <v>-0.3448547380532524</v>
      </c>
      <c r="M77" s="24">
        <f>-J77/B$76</f>
        <v>-0.3448547380532524</v>
      </c>
      <c r="O77" s="2"/>
      <c r="P77" s="2"/>
      <c r="Q77" s="56"/>
      <c r="R77" s="56"/>
      <c r="S77" s="56"/>
      <c r="T77" s="56"/>
      <c r="U77" s="56"/>
      <c r="V77" s="56"/>
      <c r="W77" s="110"/>
      <c r="X77" s="110"/>
      <c r="Y77" s="161" t="s">
        <v>102</v>
      </c>
      <c r="Z77" s="159"/>
      <c r="AA77" s="111">
        <f>AA31*$I$83/4</f>
        <v>1976.1545905060577</v>
      </c>
      <c r="AB77" s="112"/>
      <c r="AC77" s="111">
        <f>AC31*$I$83/4</f>
        <v>7710.6147701825212</v>
      </c>
      <c r="AD77" s="112"/>
      <c r="AE77" s="111">
        <f>AE31*$I$83/4</f>
        <v>7486.0300052922285</v>
      </c>
      <c r="AF77" s="112"/>
      <c r="AG77" s="111">
        <f>AG31*$I$83/4</f>
        <v>7493.9410757235455</v>
      </c>
      <c r="AH77" s="110"/>
      <c r="AI77" s="154">
        <f>SUM(AA77,AC77,AE77,AG77)</f>
        <v>24666.740441704351</v>
      </c>
      <c r="AJ77" s="153">
        <f>SUM(AA77,AC77)</f>
        <v>9686.7693606885787</v>
      </c>
      <c r="AK77" s="160">
        <f>SUM(AE77,AG77)</f>
        <v>14979.971081015774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53" t="s">
        <v>37</v>
      </c>
      <c r="B78" s="46"/>
      <c r="C78" s="46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56"/>
      <c r="R78" s="56"/>
      <c r="S78" s="56"/>
      <c r="T78" s="56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0</v>
      </c>
      <c r="AD78" s="112"/>
      <c r="AE78" s="112">
        <f>AC75</f>
        <v>0</v>
      </c>
      <c r="AF78" s="112"/>
      <c r="AG78" s="112">
        <f>AE75</f>
        <v>0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46" t="s">
        <v>38</v>
      </c>
      <c r="B79" s="228" t="str">
        <f>[1]Summ!E1037</f>
        <v>mix</v>
      </c>
      <c r="C79" s="46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56"/>
      <c r="R79" s="56"/>
      <c r="S79" s="56"/>
      <c r="T79" s="56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-156.8433863083601</v>
      </c>
      <c r="AB79" s="112"/>
      <c r="AC79" s="112">
        <f>AA79-AA74+AC65-AC70</f>
        <v>-4539.3433863083601</v>
      </c>
      <c r="AD79" s="112"/>
      <c r="AE79" s="112">
        <f>AC79-AC74+AE65-AE70</f>
        <v>-4329.3433863083601</v>
      </c>
      <c r="AF79" s="112"/>
      <c r="AG79" s="112">
        <f>AE79-AE74+AG65-AG70</f>
        <v>-4434.3433863083601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46" t="s">
        <v>39</v>
      </c>
      <c r="B80" s="105">
        <f>[1]Summ!E1038</f>
        <v>0.64638090248077151</v>
      </c>
      <c r="C80" s="46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56"/>
      <c r="R80" s="56"/>
      <c r="S80" s="56"/>
      <c r="T80" s="56"/>
      <c r="U80" s="56"/>
      <c r="V80" s="56"/>
      <c r="W80" s="110"/>
      <c r="X80" s="110"/>
      <c r="Y80" s="161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46" t="s">
        <v>40</v>
      </c>
      <c r="B81" s="228">
        <f>[1]Summ!E1039</f>
        <v>8</v>
      </c>
      <c r="C81" s="46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56"/>
      <c r="R81" s="56"/>
      <c r="S81" s="56"/>
      <c r="T81" s="56"/>
      <c r="U81" s="56"/>
      <c r="V81" s="56"/>
      <c r="W81" s="110"/>
      <c r="X81" s="110"/>
      <c r="Y81" s="161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46" t="s">
        <v>41</v>
      </c>
      <c r="B82" s="105">
        <f>[1]Summ!E1040</f>
        <v>6.2365204888569377</v>
      </c>
      <c r="C82" s="46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56"/>
      <c r="R82" s="56"/>
      <c r="S82" s="56"/>
      <c r="T82" s="56"/>
      <c r="U82" s="56"/>
      <c r="V82" s="56"/>
      <c r="X82" s="110"/>
      <c r="Y82" s="161" t="s">
        <v>66</v>
      </c>
      <c r="Z82" s="162">
        <f>IF($AH$82=0,0,AA82/$AH$82)</f>
        <v>1</v>
      </c>
      <c r="AA82" s="163">
        <f>5*1.12</f>
        <v>5.6000000000000005</v>
      </c>
      <c r="AB82" s="162">
        <f>IF($AH$82=0,0,AC82/$AH$82)</f>
        <v>1</v>
      </c>
      <c r="AC82" s="163">
        <f>5*1.12</f>
        <v>5.6000000000000005</v>
      </c>
      <c r="AD82" s="162">
        <f>IF($AH$82=0,0,AE82/$AH$82)</f>
        <v>1</v>
      </c>
      <c r="AE82" s="163">
        <f>5*1.12</f>
        <v>5.6000000000000005</v>
      </c>
      <c r="AF82" s="162">
        <f>IF($AH$82=0,0,AG82/$AH$82)</f>
        <v>1</v>
      </c>
      <c r="AG82" s="163">
        <f>5*1.12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46" t="s">
        <v>42</v>
      </c>
      <c r="B83" s="46">
        <f>365*B80*B81*B82</f>
        <v>11771.009806427335</v>
      </c>
      <c r="C83" s="46"/>
      <c r="D83" s="38"/>
      <c r="E83" s="32"/>
      <c r="F83" s="32"/>
      <c r="G83" s="32"/>
      <c r="H83" s="24">
        <f>G$37*F$9/F$7</f>
        <v>1.65</v>
      </c>
      <c r="I83" s="39">
        <f xml:space="preserve"> B83*H83</f>
        <v>19422.166180605102</v>
      </c>
      <c r="J83" s="48"/>
      <c r="K83" s="32"/>
      <c r="L83" s="32"/>
      <c r="M83" s="48"/>
      <c r="N83" s="32"/>
      <c r="O83" s="2"/>
      <c r="P83" s="2"/>
      <c r="Q83" s="56"/>
      <c r="R83" s="56"/>
      <c r="S83" s="56"/>
      <c r="T83" s="56"/>
      <c r="U83" s="56"/>
      <c r="V83" s="56"/>
      <c r="X83" s="110"/>
      <c r="Y83" s="161" t="s">
        <v>130</v>
      </c>
      <c r="Z83" s="110"/>
      <c r="AA83" s="165">
        <f>$I$83*Z82/4</f>
        <v>4855.5415451512754</v>
      </c>
      <c r="AB83" s="112"/>
      <c r="AC83" s="165">
        <f>$I$83*AB82/4</f>
        <v>4855.5415451512754</v>
      </c>
      <c r="AD83" s="112"/>
      <c r="AE83" s="165">
        <f>$I$83*AD82/4</f>
        <v>4855.5415451512754</v>
      </c>
      <c r="AF83" s="112"/>
      <c r="AG83" s="165">
        <f>$I$83*AF82/4</f>
        <v>4855.5415451512754</v>
      </c>
      <c r="AH83" s="165">
        <f>SUM(AA83,AC83,AE83,AG83)</f>
        <v>19422.166180605102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2">
        <f>B70+((1-D29)*B83)</f>
        <v>24062.646384067204</v>
      </c>
      <c r="C84" s="46"/>
      <c r="D84" s="233"/>
      <c r="E84" s="64"/>
      <c r="F84" s="64"/>
      <c r="G84" s="64"/>
      <c r="H84" s="234">
        <f>IF(B84=0,0,I84/B84)</f>
        <v>1.4948234037914787</v>
      </c>
      <c r="I84" s="232">
        <f>(B70*H70)+((1-(D29*H29))*I83)</f>
        <v>35969.406972062054</v>
      </c>
      <c r="J84" s="48"/>
      <c r="K84" s="32"/>
      <c r="L84" s="32"/>
      <c r="M84" s="48"/>
      <c r="N84" s="32"/>
      <c r="O84" s="2"/>
      <c r="P84" s="2"/>
      <c r="Q84" s="56"/>
      <c r="R84" s="56"/>
      <c r="S84" s="56"/>
      <c r="T84" s="56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46" t="s">
        <v>43</v>
      </c>
      <c r="B85" s="46"/>
      <c r="C85" s="46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56"/>
      <c r="R85" s="56"/>
      <c r="S85" s="56"/>
      <c r="T85" s="56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46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I86" s="79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[1]Summ!$I$892</f>
        <v>0</v>
      </c>
      <c r="C87" s="5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185"/>
      <c r="AB87" s="185"/>
      <c r="AC87" s="185"/>
      <c r="AD87" s="185"/>
      <c r="AE87" s="185"/>
      <c r="AF87" s="185"/>
      <c r="AG87" s="185"/>
      <c r="AH87" s="186"/>
      <c r="AI87" s="188"/>
      <c r="AJ87" s="79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55" t="str">
        <f>A34</f>
        <v>Income : Poor HHs</v>
      </c>
      <c r="B88" s="56"/>
      <c r="C88" s="56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39"/>
      <c r="AB88" s="2"/>
      <c r="AC88" s="2"/>
      <c r="AD88" s="2"/>
      <c r="AE88" s="2"/>
      <c r="AF88" s="2"/>
      <c r="AG88" s="2"/>
      <c r="AI88" s="79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56"/>
      <c r="B89" s="59" t="s">
        <v>7</v>
      </c>
      <c r="C89" s="5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8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39"/>
      <c r="AB89" s="2"/>
      <c r="AC89" s="39"/>
      <c r="AD89" s="2"/>
      <c r="AE89" s="39"/>
      <c r="AF89" s="2"/>
      <c r="AG89" s="39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56" t="s">
        <v>44</v>
      </c>
      <c r="B90" s="59" t="s">
        <v>16</v>
      </c>
      <c r="C90" s="5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8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39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56" t="str">
        <f>IF(A37="","",A37)</f>
        <v>Cattle sales - local: no. sold</v>
      </c>
      <c r="B91" s="60">
        <f t="shared" ref="B91:C118" si="81">IF(B37="","",(B37/$B$83))</f>
        <v>0.57344273014829117</v>
      </c>
      <c r="C91" s="60">
        <f t="shared" si="81"/>
        <v>0</v>
      </c>
      <c r="D91" s="24">
        <f>SUM(B91,C91)</f>
        <v>0.57344273014829117</v>
      </c>
      <c r="H91" s="24">
        <f>(E37*F37/G37*F$7/F$9)</f>
        <v>0.3575757575757576</v>
      </c>
      <c r="I91" s="22">
        <f t="shared" ref="I91" si="82">(D91*H91)</f>
        <v>0.20504921865908596</v>
      </c>
      <c r="J91" s="24">
        <f>IF(I$32&lt;=1+I$131,I91,L91+J$33*(I91-L91))</f>
        <v>0.20504921865908596</v>
      </c>
      <c r="K91" s="22">
        <f t="shared" ref="K91" si="83">IF(B91="",0,B91)</f>
        <v>0.57344273014829117</v>
      </c>
      <c r="L91" s="22">
        <f t="shared" ref="L91" si="84">(K91*H91)</f>
        <v>0.20504921865908596</v>
      </c>
      <c r="M91" s="225">
        <f t="shared" si="80"/>
        <v>0.20504921865908596</v>
      </c>
      <c r="N91" s="227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39"/>
      <c r="AB91" s="2"/>
      <c r="AC91" s="39"/>
      <c r="AD91" s="2"/>
      <c r="AE91" s="39"/>
      <c r="AF91" s="2"/>
      <c r="AG91" s="39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56" t="str">
        <f t="shared" ref="A92:A118" si="85">IF(A38="","",A38)</f>
        <v>Goat sales - local: no. sold</v>
      </c>
      <c r="B92" s="60">
        <f t="shared" si="81"/>
        <v>0.25486343562146274</v>
      </c>
      <c r="C92" s="60">
        <f t="shared" si="81"/>
        <v>-0.21238619635121897</v>
      </c>
      <c r="D92" s="24">
        <f t="shared" ref="D92:D118" si="86">SUM(B92,C92)</f>
        <v>4.2477239270243772E-2</v>
      </c>
      <c r="H92" s="24">
        <f t="shared" ref="H92:H118" si="87">(E38*F38/G38*F$7/F$9)</f>
        <v>0.3575757575757576</v>
      </c>
      <c r="I92" s="22">
        <f t="shared" ref="I92:I118" si="88">(D92*H92)</f>
        <v>1.5188831011784138E-2</v>
      </c>
      <c r="J92" s="24">
        <f t="shared" ref="J92:J118" si="89">IF(I$32&lt;=1+I$131,I92,L92+J$33*(I92-L92))</f>
        <v>1.5188831011784138E-2</v>
      </c>
      <c r="K92" s="22">
        <f t="shared" ref="K92:K118" si="90">IF(B92="",0,B92)</f>
        <v>0.25486343562146274</v>
      </c>
      <c r="L92" s="22">
        <f t="shared" ref="L92:L118" si="91">(K92*H92)</f>
        <v>9.1132986070704872E-2</v>
      </c>
      <c r="M92" s="225">
        <f t="shared" ref="M92:M118" si="92">(J92)</f>
        <v>1.5188831011784138E-2</v>
      </c>
      <c r="N92" s="227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173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56" t="str">
        <f t="shared" si="85"/>
        <v>Sheep sales - local: no. sold</v>
      </c>
      <c r="B93" s="60">
        <f t="shared" si="81"/>
        <v>0</v>
      </c>
      <c r="C93" s="60">
        <f t="shared" si="81"/>
        <v>0</v>
      </c>
      <c r="D93" s="24">
        <f t="shared" si="86"/>
        <v>0</v>
      </c>
      <c r="H93" s="24">
        <f t="shared" si="87"/>
        <v>0.3575757575757576</v>
      </c>
      <c r="I93" s="22">
        <f t="shared" si="88"/>
        <v>0</v>
      </c>
      <c r="J93" s="24">
        <f t="shared" si="89"/>
        <v>0</v>
      </c>
      <c r="K93" s="22">
        <f t="shared" si="90"/>
        <v>0</v>
      </c>
      <c r="L93" s="22">
        <f t="shared" si="91"/>
        <v>0</v>
      </c>
      <c r="M93" s="225">
        <f t="shared" si="92"/>
        <v>0</v>
      </c>
      <c r="N93" s="227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56" t="str">
        <f t="shared" si="85"/>
        <v>Chicken sales: no. sold</v>
      </c>
      <c r="B94" s="60">
        <f t="shared" si="81"/>
        <v>0</v>
      </c>
      <c r="C94" s="60">
        <f t="shared" si="81"/>
        <v>0</v>
      </c>
      <c r="D94" s="24">
        <f t="shared" si="86"/>
        <v>0</v>
      </c>
      <c r="H94" s="24">
        <f t="shared" si="87"/>
        <v>0.7151515151515152</v>
      </c>
      <c r="I94" s="22">
        <f t="shared" si="88"/>
        <v>0</v>
      </c>
      <c r="J94" s="24">
        <f t="shared" si="89"/>
        <v>0</v>
      </c>
      <c r="K94" s="22">
        <f t="shared" si="90"/>
        <v>0</v>
      </c>
      <c r="L94" s="22">
        <f t="shared" si="91"/>
        <v>0</v>
      </c>
      <c r="M94" s="225">
        <f t="shared" si="92"/>
        <v>0</v>
      </c>
      <c r="N94" s="227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56" t="str">
        <f t="shared" si="85"/>
        <v>Maize: kg produced</v>
      </c>
      <c r="B95" s="60">
        <f t="shared" si="81"/>
        <v>0</v>
      </c>
      <c r="C95" s="60">
        <f t="shared" si="81"/>
        <v>0</v>
      </c>
      <c r="D95" s="24">
        <f t="shared" si="86"/>
        <v>0</v>
      </c>
      <c r="H95" s="24">
        <f t="shared" si="87"/>
        <v>0.25454545454545457</v>
      </c>
      <c r="I95" s="22">
        <f t="shared" si="88"/>
        <v>0</v>
      </c>
      <c r="J95" s="24">
        <f t="shared" si="89"/>
        <v>0</v>
      </c>
      <c r="K95" s="22">
        <f t="shared" si="90"/>
        <v>0</v>
      </c>
      <c r="L95" s="22">
        <f t="shared" si="91"/>
        <v>0</v>
      </c>
      <c r="M95" s="225">
        <f t="shared" si="92"/>
        <v>0</v>
      </c>
      <c r="N95" s="227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56" t="str">
        <f t="shared" si="85"/>
        <v>Beans: kg produced</v>
      </c>
      <c r="B96" s="60">
        <f t="shared" si="81"/>
        <v>0.12743171781073137</v>
      </c>
      <c r="C96" s="60">
        <f t="shared" si="81"/>
        <v>0</v>
      </c>
      <c r="D96" s="24">
        <f t="shared" si="86"/>
        <v>0.12743171781073137</v>
      </c>
      <c r="H96" s="24">
        <f t="shared" si="87"/>
        <v>0.16969696969696968</v>
      </c>
      <c r="I96" s="22">
        <f t="shared" si="88"/>
        <v>2.1624776355760471E-2</v>
      </c>
      <c r="J96" s="24">
        <f t="shared" si="89"/>
        <v>2.1624776355760471E-2</v>
      </c>
      <c r="K96" s="22">
        <f t="shared" si="90"/>
        <v>0.12743171781073137</v>
      </c>
      <c r="L96" s="22">
        <f t="shared" si="91"/>
        <v>2.1624776355760471E-2</v>
      </c>
      <c r="M96" s="225">
        <f t="shared" si="92"/>
        <v>2.1624776355760471E-2</v>
      </c>
      <c r="N96" s="227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56" t="str">
        <f t="shared" si="85"/>
        <v>potatoes: kg produced</v>
      </c>
      <c r="B97" s="60">
        <f t="shared" si="81"/>
        <v>1.3592716566478013E-2</v>
      </c>
      <c r="C97" s="60">
        <f t="shared" si="81"/>
        <v>-1.3592716566478013E-2</v>
      </c>
      <c r="D97" s="24">
        <f t="shared" si="86"/>
        <v>0</v>
      </c>
      <c r="H97" s="24">
        <f t="shared" si="87"/>
        <v>0.16969696969696968</v>
      </c>
      <c r="I97" s="22">
        <f t="shared" si="88"/>
        <v>0</v>
      </c>
      <c r="J97" s="24">
        <f t="shared" si="89"/>
        <v>0</v>
      </c>
      <c r="K97" s="22">
        <f t="shared" si="90"/>
        <v>1.3592716566478013E-2</v>
      </c>
      <c r="L97" s="22">
        <f t="shared" si="91"/>
        <v>2.3066428112811172E-3</v>
      </c>
      <c r="M97" s="225">
        <f t="shared" si="92"/>
        <v>0</v>
      </c>
      <c r="N97" s="227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56" t="str">
        <f t="shared" si="85"/>
        <v>Agricultural cash income -- see Data2</v>
      </c>
      <c r="B98" s="60">
        <f t="shared" si="81"/>
        <v>0.23447436077174574</v>
      </c>
      <c r="C98" s="60">
        <f t="shared" si="81"/>
        <v>0</v>
      </c>
      <c r="D98" s="24">
        <f t="shared" si="86"/>
        <v>0.23447436077174574</v>
      </c>
      <c r="H98" s="24">
        <f t="shared" si="87"/>
        <v>0.33636363636363642</v>
      </c>
      <c r="I98" s="22">
        <f t="shared" si="88"/>
        <v>7.8868648623223583E-2</v>
      </c>
      <c r="J98" s="24">
        <f t="shared" si="89"/>
        <v>7.8868648623223583E-2</v>
      </c>
      <c r="K98" s="22">
        <f t="shared" si="90"/>
        <v>0.23447436077174574</v>
      </c>
      <c r="L98" s="22">
        <f t="shared" si="91"/>
        <v>7.8868648623223583E-2</v>
      </c>
      <c r="M98" s="225">
        <f t="shared" si="92"/>
        <v>7.8868648623223583E-2</v>
      </c>
      <c r="N98" s="227">
        <v>7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56" t="str">
        <f t="shared" si="85"/>
        <v>Construction cash income -- see Data2</v>
      </c>
      <c r="B99" s="60">
        <f t="shared" si="81"/>
        <v>0</v>
      </c>
      <c r="C99" s="60">
        <f t="shared" si="81"/>
        <v>0</v>
      </c>
      <c r="D99" s="24">
        <f t="shared" si="86"/>
        <v>0</v>
      </c>
      <c r="H99" s="24">
        <f t="shared" si="87"/>
        <v>0.33636363636363642</v>
      </c>
      <c r="I99" s="22">
        <f t="shared" si="88"/>
        <v>0</v>
      </c>
      <c r="J99" s="24">
        <f t="shared" si="89"/>
        <v>0</v>
      </c>
      <c r="K99" s="22">
        <f t="shared" si="90"/>
        <v>0</v>
      </c>
      <c r="L99" s="22">
        <f t="shared" si="91"/>
        <v>0</v>
      </c>
      <c r="M99" s="225">
        <f t="shared" si="92"/>
        <v>0</v>
      </c>
      <c r="N99" s="227">
        <v>7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56" t="str">
        <f t="shared" si="85"/>
        <v>Domestic work cash income -- see Data2</v>
      </c>
      <c r="B100" s="60">
        <f t="shared" si="81"/>
        <v>0.1868998527890727</v>
      </c>
      <c r="C100" s="60">
        <f t="shared" si="81"/>
        <v>0</v>
      </c>
      <c r="D100" s="24">
        <f t="shared" si="86"/>
        <v>0.1868998527890727</v>
      </c>
      <c r="H100" s="24">
        <f t="shared" si="87"/>
        <v>0.33636363636363642</v>
      </c>
      <c r="I100" s="22">
        <f t="shared" si="88"/>
        <v>6.2866314119960826E-2</v>
      </c>
      <c r="J100" s="24">
        <f t="shared" si="89"/>
        <v>6.2866314119960826E-2</v>
      </c>
      <c r="K100" s="22">
        <f t="shared" si="90"/>
        <v>0.1868998527890727</v>
      </c>
      <c r="L100" s="22">
        <f t="shared" si="91"/>
        <v>6.2866314119960826E-2</v>
      </c>
      <c r="M100" s="225">
        <f t="shared" si="92"/>
        <v>6.2866314119960826E-2</v>
      </c>
      <c r="N100" s="227">
        <v>7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56" t="str">
        <f t="shared" si="85"/>
        <v>Labour migration(formal employment): no. people per HH</v>
      </c>
      <c r="B101" s="60">
        <f t="shared" si="81"/>
        <v>0</v>
      </c>
      <c r="C101" s="60">
        <f t="shared" si="81"/>
        <v>0</v>
      </c>
      <c r="D101" s="24">
        <f t="shared" si="86"/>
        <v>0</v>
      </c>
      <c r="H101" s="24">
        <f t="shared" si="87"/>
        <v>0.28606060606060607</v>
      </c>
      <c r="I101" s="22">
        <f t="shared" si="88"/>
        <v>0</v>
      </c>
      <c r="J101" s="24">
        <f t="shared" si="89"/>
        <v>0</v>
      </c>
      <c r="K101" s="22">
        <f t="shared" si="90"/>
        <v>0</v>
      </c>
      <c r="L101" s="22">
        <f t="shared" si="91"/>
        <v>0</v>
      </c>
      <c r="M101" s="225">
        <f t="shared" si="92"/>
        <v>0</v>
      </c>
      <c r="N101" s="227">
        <v>8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56" t="str">
        <f t="shared" si="85"/>
        <v>Small business -- see Data2</v>
      </c>
      <c r="B102" s="60">
        <f t="shared" si="81"/>
        <v>0</v>
      </c>
      <c r="C102" s="60">
        <f t="shared" si="81"/>
        <v>0</v>
      </c>
      <c r="D102" s="24">
        <f t="shared" si="86"/>
        <v>0</v>
      </c>
      <c r="H102" s="24">
        <f t="shared" si="87"/>
        <v>0.57212121212121214</v>
      </c>
      <c r="I102" s="22">
        <f t="shared" si="88"/>
        <v>0</v>
      </c>
      <c r="J102" s="24">
        <f t="shared" si="89"/>
        <v>0</v>
      </c>
      <c r="K102" s="22">
        <f t="shared" si="90"/>
        <v>0</v>
      </c>
      <c r="L102" s="22">
        <f t="shared" si="91"/>
        <v>0</v>
      </c>
      <c r="M102" s="225">
        <f t="shared" si="92"/>
        <v>0</v>
      </c>
      <c r="N102" s="227">
        <v>11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56" t="str">
        <f t="shared" si="85"/>
        <v>Social development -- see Data2</v>
      </c>
      <c r="B103" s="60">
        <f t="shared" si="81"/>
        <v>1.8706976174615366</v>
      </c>
      <c r="C103" s="60">
        <f t="shared" si="81"/>
        <v>0</v>
      </c>
      <c r="D103" s="24">
        <f t="shared" si="86"/>
        <v>1.8706976174615366</v>
      </c>
      <c r="H103" s="24">
        <f t="shared" si="87"/>
        <v>0</v>
      </c>
      <c r="I103" s="22">
        <f t="shared" si="88"/>
        <v>0</v>
      </c>
      <c r="J103" s="24">
        <f t="shared" si="89"/>
        <v>0</v>
      </c>
      <c r="K103" s="22">
        <f t="shared" si="90"/>
        <v>1.8706976174615366</v>
      </c>
      <c r="L103" s="22">
        <f t="shared" si="91"/>
        <v>0</v>
      </c>
      <c r="M103" s="225">
        <f t="shared" si="92"/>
        <v>0</v>
      </c>
      <c r="N103" s="227">
        <v>14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56" t="str">
        <f t="shared" si="85"/>
        <v>Public works -- see Data2</v>
      </c>
      <c r="B104" s="60">
        <f t="shared" si="81"/>
        <v>1.2671810019099128</v>
      </c>
      <c r="C104" s="60">
        <f t="shared" si="81"/>
        <v>0</v>
      </c>
      <c r="D104" s="24">
        <f t="shared" si="86"/>
        <v>1.2671810019099128</v>
      </c>
      <c r="H104" s="24">
        <f t="shared" si="87"/>
        <v>0.7151515151515152</v>
      </c>
      <c r="I104" s="22">
        <f t="shared" si="88"/>
        <v>0.90622641348708921</v>
      </c>
      <c r="J104" s="24">
        <f t="shared" si="89"/>
        <v>0.90622641348708921</v>
      </c>
      <c r="K104" s="22">
        <f t="shared" si="90"/>
        <v>1.2671810019099128</v>
      </c>
      <c r="L104" s="22">
        <f t="shared" si="91"/>
        <v>0.90622641348708921</v>
      </c>
      <c r="M104" s="225">
        <f t="shared" si="92"/>
        <v>0.90622641348708921</v>
      </c>
      <c r="N104" s="227">
        <v>9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56" t="str">
        <f t="shared" si="85"/>
        <v>Gifts/social support: type (Child support, Pension and Foster Care)</v>
      </c>
      <c r="B105" s="60">
        <f t="shared" si="81"/>
        <v>0</v>
      </c>
      <c r="C105" s="60">
        <f t="shared" si="81"/>
        <v>0</v>
      </c>
      <c r="D105" s="24">
        <f t="shared" si="86"/>
        <v>0</v>
      </c>
      <c r="H105" s="24">
        <f t="shared" si="87"/>
        <v>0.60606060606060608</v>
      </c>
      <c r="I105" s="22">
        <f t="shared" si="88"/>
        <v>0</v>
      </c>
      <c r="J105" s="24">
        <f t="shared" si="89"/>
        <v>0</v>
      </c>
      <c r="K105" s="22">
        <f t="shared" si="90"/>
        <v>0</v>
      </c>
      <c r="L105" s="22">
        <f t="shared" si="91"/>
        <v>0</v>
      </c>
      <c r="M105" s="225">
        <f t="shared" si="92"/>
        <v>0</v>
      </c>
      <c r="N105" s="227">
        <v>15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56" t="str">
        <f t="shared" si="85"/>
        <v>Remittances: no. times per year</v>
      </c>
      <c r="B106" s="60">
        <f t="shared" si="81"/>
        <v>0</v>
      </c>
      <c r="C106" s="60">
        <f t="shared" si="81"/>
        <v>0</v>
      </c>
      <c r="D106" s="24">
        <f t="shared" si="86"/>
        <v>0</v>
      </c>
      <c r="H106" s="24">
        <f t="shared" si="87"/>
        <v>0.67272727272727284</v>
      </c>
      <c r="I106" s="22">
        <f t="shared" si="88"/>
        <v>0</v>
      </c>
      <c r="J106" s="24">
        <f t="shared" si="89"/>
        <v>0</v>
      </c>
      <c r="K106" s="22">
        <f t="shared" si="90"/>
        <v>0</v>
      </c>
      <c r="L106" s="22">
        <f t="shared" si="91"/>
        <v>0</v>
      </c>
      <c r="M106" s="225">
        <f t="shared" si="92"/>
        <v>0</v>
      </c>
      <c r="N106" s="227">
        <v>15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56" t="str">
        <f t="shared" si="85"/>
        <v/>
      </c>
      <c r="B107" s="60">
        <f t="shared" si="81"/>
        <v>0</v>
      </c>
      <c r="C107" s="60">
        <f t="shared" si="81"/>
        <v>0</v>
      </c>
      <c r="D107" s="24">
        <f t="shared" si="86"/>
        <v>0</v>
      </c>
      <c r="H107" s="24">
        <f t="shared" si="87"/>
        <v>0.60606060606060608</v>
      </c>
      <c r="I107" s="22">
        <f t="shared" si="88"/>
        <v>0</v>
      </c>
      <c r="J107" s="24">
        <f t="shared" si="89"/>
        <v>0</v>
      </c>
      <c r="K107" s="22">
        <f t="shared" si="90"/>
        <v>0</v>
      </c>
      <c r="L107" s="22">
        <f t="shared" si="91"/>
        <v>0</v>
      </c>
      <c r="M107" s="225">
        <f t="shared" si="92"/>
        <v>0</v>
      </c>
      <c r="N107" s="227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56" t="str">
        <f t="shared" si="85"/>
        <v/>
      </c>
      <c r="B108" s="60">
        <f t="shared" si="81"/>
        <v>0</v>
      </c>
      <c r="C108" s="60">
        <f t="shared" si="81"/>
        <v>0</v>
      </c>
      <c r="D108" s="24">
        <f t="shared" si="86"/>
        <v>0</v>
      </c>
      <c r="H108" s="24">
        <f t="shared" si="87"/>
        <v>0.60606060606060608</v>
      </c>
      <c r="I108" s="22">
        <f t="shared" si="88"/>
        <v>0</v>
      </c>
      <c r="J108" s="24">
        <f t="shared" si="89"/>
        <v>0</v>
      </c>
      <c r="K108" s="22">
        <f t="shared" si="90"/>
        <v>0</v>
      </c>
      <c r="L108" s="22">
        <f t="shared" si="91"/>
        <v>0</v>
      </c>
      <c r="M108" s="225">
        <f t="shared" si="92"/>
        <v>0</v>
      </c>
      <c r="N108" s="227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56" t="str">
        <f t="shared" si="85"/>
        <v/>
      </c>
      <c r="B109" s="60">
        <f t="shared" si="81"/>
        <v>0</v>
      </c>
      <c r="C109" s="60">
        <f t="shared" si="81"/>
        <v>0</v>
      </c>
      <c r="D109" s="24">
        <f t="shared" si="86"/>
        <v>0</v>
      </c>
      <c r="H109" s="24">
        <f t="shared" si="87"/>
        <v>0.60606060606060608</v>
      </c>
      <c r="I109" s="22">
        <f t="shared" si="88"/>
        <v>0</v>
      </c>
      <c r="J109" s="24">
        <f t="shared" si="89"/>
        <v>0</v>
      </c>
      <c r="K109" s="22">
        <f t="shared" si="90"/>
        <v>0</v>
      </c>
      <c r="L109" s="22">
        <f t="shared" si="91"/>
        <v>0</v>
      </c>
      <c r="M109" s="225">
        <f t="shared" si="92"/>
        <v>0</v>
      </c>
      <c r="N109" s="227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56" t="str">
        <f t="shared" si="85"/>
        <v/>
      </c>
      <c r="B110" s="60">
        <f t="shared" si="81"/>
        <v>0</v>
      </c>
      <c r="C110" s="60">
        <f t="shared" si="81"/>
        <v>0</v>
      </c>
      <c r="D110" s="24">
        <f t="shared" si="86"/>
        <v>0</v>
      </c>
      <c r="H110" s="24">
        <f t="shared" si="87"/>
        <v>0.60606060606060608</v>
      </c>
      <c r="I110" s="22">
        <f t="shared" si="88"/>
        <v>0</v>
      </c>
      <c r="J110" s="24">
        <f t="shared" si="89"/>
        <v>0</v>
      </c>
      <c r="K110" s="22">
        <f t="shared" si="90"/>
        <v>0</v>
      </c>
      <c r="L110" s="22">
        <f t="shared" si="91"/>
        <v>0</v>
      </c>
      <c r="M110" s="225">
        <f t="shared" si="92"/>
        <v>0</v>
      </c>
      <c r="N110" s="227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56" t="str">
        <f t="shared" si="85"/>
        <v/>
      </c>
      <c r="B111" s="60">
        <f t="shared" si="81"/>
        <v>0</v>
      </c>
      <c r="C111" s="60">
        <f t="shared" si="81"/>
        <v>0</v>
      </c>
      <c r="D111" s="24">
        <f t="shared" si="86"/>
        <v>0</v>
      </c>
      <c r="H111" s="24">
        <f t="shared" si="87"/>
        <v>0.60606060606060608</v>
      </c>
      <c r="I111" s="22">
        <f t="shared" si="88"/>
        <v>0</v>
      </c>
      <c r="J111" s="24">
        <f t="shared" si="89"/>
        <v>0</v>
      </c>
      <c r="K111" s="22">
        <f t="shared" si="90"/>
        <v>0</v>
      </c>
      <c r="L111" s="22">
        <f t="shared" si="91"/>
        <v>0</v>
      </c>
      <c r="M111" s="225">
        <f t="shared" si="92"/>
        <v>0</v>
      </c>
      <c r="N111" s="227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56" t="str">
        <f t="shared" si="85"/>
        <v/>
      </c>
      <c r="B112" s="60">
        <f t="shared" si="81"/>
        <v>0</v>
      </c>
      <c r="C112" s="60">
        <f t="shared" si="81"/>
        <v>0</v>
      </c>
      <c r="D112" s="24">
        <f t="shared" si="86"/>
        <v>0</v>
      </c>
      <c r="H112" s="24">
        <f t="shared" si="87"/>
        <v>0.60606060606060608</v>
      </c>
      <c r="I112" s="22">
        <f t="shared" si="88"/>
        <v>0</v>
      </c>
      <c r="J112" s="24">
        <f t="shared" si="89"/>
        <v>0</v>
      </c>
      <c r="K112" s="22">
        <f t="shared" si="90"/>
        <v>0</v>
      </c>
      <c r="L112" s="22">
        <f t="shared" si="91"/>
        <v>0</v>
      </c>
      <c r="M112" s="225">
        <f t="shared" si="92"/>
        <v>0</v>
      </c>
      <c r="N112" s="227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56" t="str">
        <f t="shared" si="85"/>
        <v/>
      </c>
      <c r="B113" s="60">
        <f t="shared" si="81"/>
        <v>0</v>
      </c>
      <c r="C113" s="60">
        <f t="shared" si="81"/>
        <v>0</v>
      </c>
      <c r="D113" s="24">
        <f t="shared" si="86"/>
        <v>0</v>
      </c>
      <c r="H113" s="24">
        <f t="shared" si="87"/>
        <v>0.60606060606060608</v>
      </c>
      <c r="I113" s="22">
        <f t="shared" si="88"/>
        <v>0</v>
      </c>
      <c r="J113" s="24">
        <f t="shared" si="89"/>
        <v>0</v>
      </c>
      <c r="K113" s="22">
        <f t="shared" si="90"/>
        <v>0</v>
      </c>
      <c r="L113" s="22">
        <f t="shared" si="91"/>
        <v>0</v>
      </c>
      <c r="M113" s="225">
        <f t="shared" si="92"/>
        <v>0</v>
      </c>
      <c r="N113" s="227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56" t="str">
        <f t="shared" si="85"/>
        <v/>
      </c>
      <c r="B114" s="60">
        <f t="shared" si="81"/>
        <v>0</v>
      </c>
      <c r="C114" s="60">
        <f t="shared" si="81"/>
        <v>0</v>
      </c>
      <c r="D114" s="24">
        <f t="shared" si="86"/>
        <v>0</v>
      </c>
      <c r="H114" s="24">
        <f t="shared" si="87"/>
        <v>0.60606060606060608</v>
      </c>
      <c r="I114" s="22">
        <f t="shared" si="88"/>
        <v>0</v>
      </c>
      <c r="J114" s="24">
        <f t="shared" si="89"/>
        <v>0</v>
      </c>
      <c r="K114" s="22">
        <f t="shared" si="90"/>
        <v>0</v>
      </c>
      <c r="L114" s="22">
        <f t="shared" si="91"/>
        <v>0</v>
      </c>
      <c r="M114" s="225">
        <f t="shared" si="92"/>
        <v>0</v>
      </c>
      <c r="N114" s="227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56" t="str">
        <f t="shared" si="85"/>
        <v/>
      </c>
      <c r="B115" s="60">
        <f t="shared" si="81"/>
        <v>0</v>
      </c>
      <c r="C115" s="60">
        <f t="shared" si="81"/>
        <v>0</v>
      </c>
      <c r="D115" s="24">
        <f t="shared" si="86"/>
        <v>0</v>
      </c>
      <c r="H115" s="24">
        <f t="shared" si="87"/>
        <v>0.60606060606060608</v>
      </c>
      <c r="I115" s="22">
        <f t="shared" si="88"/>
        <v>0</v>
      </c>
      <c r="J115" s="24">
        <f t="shared" si="89"/>
        <v>0</v>
      </c>
      <c r="K115" s="22">
        <f t="shared" si="90"/>
        <v>0</v>
      </c>
      <c r="L115" s="22">
        <f t="shared" si="91"/>
        <v>0</v>
      </c>
      <c r="M115" s="225">
        <f t="shared" si="92"/>
        <v>0</v>
      </c>
      <c r="N115" s="227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56" t="str">
        <f t="shared" si="85"/>
        <v/>
      </c>
      <c r="B116" s="60">
        <f t="shared" si="81"/>
        <v>0</v>
      </c>
      <c r="C116" s="60">
        <f t="shared" si="81"/>
        <v>0</v>
      </c>
      <c r="D116" s="24">
        <f t="shared" si="86"/>
        <v>0</v>
      </c>
      <c r="H116" s="24">
        <f t="shared" si="87"/>
        <v>0.60606060606060608</v>
      </c>
      <c r="I116" s="22">
        <f t="shared" si="88"/>
        <v>0</v>
      </c>
      <c r="J116" s="24">
        <f t="shared" si="89"/>
        <v>0</v>
      </c>
      <c r="K116" s="22">
        <f t="shared" si="90"/>
        <v>0</v>
      </c>
      <c r="L116" s="22">
        <f t="shared" si="91"/>
        <v>0</v>
      </c>
      <c r="M116" s="225">
        <f t="shared" si="92"/>
        <v>0</v>
      </c>
      <c r="N116" s="227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56" t="str">
        <f t="shared" si="85"/>
        <v/>
      </c>
      <c r="B117" s="60">
        <f t="shared" si="81"/>
        <v>0</v>
      </c>
      <c r="C117" s="60">
        <f t="shared" si="81"/>
        <v>0</v>
      </c>
      <c r="D117" s="24">
        <f t="shared" si="86"/>
        <v>0</v>
      </c>
      <c r="H117" s="24">
        <f t="shared" si="87"/>
        <v>0.60606060606060608</v>
      </c>
      <c r="I117" s="22">
        <f t="shared" si="88"/>
        <v>0</v>
      </c>
      <c r="J117" s="24">
        <f t="shared" si="89"/>
        <v>0</v>
      </c>
      <c r="K117" s="22">
        <f t="shared" si="90"/>
        <v>0</v>
      </c>
      <c r="L117" s="22">
        <f t="shared" si="91"/>
        <v>0</v>
      </c>
      <c r="M117" s="225">
        <f t="shared" si="92"/>
        <v>0</v>
      </c>
      <c r="N117" s="227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56" t="str">
        <f t="shared" si="85"/>
        <v/>
      </c>
      <c r="B118" s="60">
        <f t="shared" si="81"/>
        <v>0</v>
      </c>
      <c r="C118" s="60">
        <f t="shared" si="81"/>
        <v>0</v>
      </c>
      <c r="D118" s="24">
        <f t="shared" si="86"/>
        <v>0</v>
      </c>
      <c r="H118" s="24">
        <f t="shared" si="87"/>
        <v>0.60606060606060608</v>
      </c>
      <c r="I118" s="22">
        <f t="shared" si="88"/>
        <v>0</v>
      </c>
      <c r="J118" s="24">
        <f t="shared" si="89"/>
        <v>0</v>
      </c>
      <c r="K118" s="22">
        <f t="shared" si="90"/>
        <v>0</v>
      </c>
      <c r="L118" s="22">
        <f t="shared" si="91"/>
        <v>0</v>
      </c>
      <c r="M118" s="225">
        <f t="shared" si="92"/>
        <v>0</v>
      </c>
      <c r="N118" s="227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56" t="s">
        <v>32</v>
      </c>
      <c r="B119" s="29">
        <f>SUM(B91:B118)</f>
        <v>4.5285834330792314</v>
      </c>
      <c r="C119" s="29">
        <f>SUM(C91:C118)</f>
        <v>-0.22597891291769698</v>
      </c>
      <c r="D119" s="24">
        <f>SUM(D91:D118)</f>
        <v>4.3026045201615339</v>
      </c>
      <c r="E119" s="22"/>
      <c r="F119" s="2"/>
      <c r="G119" s="2"/>
      <c r="H119" s="31"/>
      <c r="I119" s="22">
        <f>SUM(I91:I118)</f>
        <v>1.2898242022569042</v>
      </c>
      <c r="J119" s="24">
        <f>SUM(J91:J118)</f>
        <v>1.2898242022569042</v>
      </c>
      <c r="K119" s="22">
        <f>SUM(K91:K118)</f>
        <v>4.5285834330792314</v>
      </c>
      <c r="L119" s="22">
        <f>SUM(L91:L118)</f>
        <v>1.368075000127106</v>
      </c>
      <c r="M119" s="57">
        <f t="shared" si="80"/>
        <v>1.2898242022569042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61"/>
      <c r="B120" s="61"/>
      <c r="C120" s="61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55" t="str">
        <f>A67</f>
        <v>Expenditure : Poor HHs</v>
      </c>
      <c r="B121" s="56"/>
      <c r="C121" s="56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56"/>
      <c r="B122" s="59" t="s">
        <v>7</v>
      </c>
      <c r="C122" s="56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56" t="s">
        <v>44</v>
      </c>
      <c r="B123" s="59" t="s">
        <v>35</v>
      </c>
      <c r="C123" s="56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1.2688663498045756</v>
      </c>
      <c r="C124" s="56"/>
      <c r="D124" s="24"/>
      <c r="H124" s="96">
        <f>(E70*F70/G$37*F$7/F$9)</f>
        <v>0.84848484848484851</v>
      </c>
      <c r="I124" s="29">
        <f>IF(SUMPRODUCT($B$124:$B124,$H$124:$H124)&lt;I$119,($B124*$H124),I$119)</f>
        <v>1.076613872561458</v>
      </c>
      <c r="J124" s="235">
        <f>IF(SUMPRODUCT($B$124:$B124,$H$124:$H124)&lt;J$119,($B124*$H124),J$119)</f>
        <v>1.076613872561458</v>
      </c>
      <c r="K124" s="29">
        <f>(B124)</f>
        <v>1.2688663498045756</v>
      </c>
      <c r="L124" s="29">
        <f>IF(SUMPRODUCT($B$124:$B124,$H$124:$H124)&lt;L$119,($B124*$H124),L$119)</f>
        <v>1.076613872561458</v>
      </c>
      <c r="M124" s="238">
        <f t="shared" si="93"/>
        <v>1.076613872561458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1.3234775030227428</v>
      </c>
      <c r="C125" s="56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0.21321032969544618</v>
      </c>
      <c r="J125" s="235">
        <f>IF(SUMPRODUCT($B$124:$B125,$H$124:$H125)&lt;J$119,($B125*$H125),IF(SUMPRODUCT($B$124:$B124,$H$124:$H124)&lt;J$119,J$119-SUMPRODUCT($B$124:$B124,$H$124:$H124),0))</f>
        <v>0.21321032969544618</v>
      </c>
      <c r="K125" s="29">
        <f>(B125)</f>
        <v>1.3234775030227428</v>
      </c>
      <c r="L125" s="29">
        <f>IF(SUMPRODUCT($B$124:$B125,$H$124:$H125)&lt;L$119,($B125*$H125),IF(SUMPRODUCT($B$124:$B124,$H$124:$H124)&lt;L$119,L$119-SUMPRODUCT($B$124:$B124,$H$124:$H124),0))</f>
        <v>0.29146112756564801</v>
      </c>
      <c r="M125" s="238">
        <f t="shared" si="93"/>
        <v>0.21321032969544618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2.3569770526272875</v>
      </c>
      <c r="C126" s="56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5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94">(B126)</f>
        <v>2.3569770526272875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38">
        <f t="shared" si="93"/>
        <v>0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0.39554805208451022</v>
      </c>
      <c r="C127" s="56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5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94"/>
        <v>0.39554805208451022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38">
        <f t="shared" si="9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0.58958408107098381</v>
      </c>
      <c r="C128" s="56"/>
      <c r="D128" s="31"/>
      <c r="E128" s="2"/>
      <c r="F128" s="2"/>
      <c r="G128" s="2"/>
      <c r="H128" s="24"/>
      <c r="I128" s="29">
        <f>(I30)</f>
        <v>0.21321032969544618</v>
      </c>
      <c r="J128" s="226">
        <f>(J30)</f>
        <v>0.21321032969544618</v>
      </c>
      <c r="K128" s="29">
        <f>(B128)</f>
        <v>0.58958408107098381</v>
      </c>
      <c r="L128" s="29">
        <f>IF(L124=L119,0,(L119-L124)/(B119-B124)*K128)</f>
        <v>5.2716489398852068E-2</v>
      </c>
      <c r="M128" s="238">
        <f t="shared" si="93"/>
        <v>0.21321032969544618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56"/>
      <c r="D129" s="31"/>
      <c r="E129" s="2"/>
      <c r="F129" s="2"/>
      <c r="G129" s="2"/>
      <c r="H129" s="24"/>
      <c r="I129" s="29"/>
      <c r="J129" s="226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38">
        <f t="shared" si="9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56" t="s">
        <v>32</v>
      </c>
      <c r="B130" s="29">
        <f>(B119)</f>
        <v>4.5285834330792314</v>
      </c>
      <c r="C130" s="56"/>
      <c r="D130" s="31"/>
      <c r="E130" s="2"/>
      <c r="F130" s="2"/>
      <c r="G130" s="2"/>
      <c r="H130" s="24"/>
      <c r="I130" s="29">
        <f>(I119)</f>
        <v>1.2898242022569042</v>
      </c>
      <c r="J130" s="226">
        <f>(J119)</f>
        <v>1.2898242022569042</v>
      </c>
      <c r="K130" s="29">
        <f>(B130)</f>
        <v>4.5285834330792314</v>
      </c>
      <c r="L130" s="29">
        <f>(L119)</f>
        <v>1.368075000127106</v>
      </c>
      <c r="M130" s="238">
        <f t="shared" si="93"/>
        <v>1.2898242022569042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56" t="s">
        <v>36</v>
      </c>
      <c r="B131" s="29"/>
      <c r="C131" s="56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0.94648694155565871</v>
      </c>
      <c r="J131" s="235">
        <f>IF(SUMPRODUCT($B124:$B125,$H124:$H125)&gt;(J119-J128),SUMPRODUCT($B124:$B125,$H124:$H125)+J128-J119,0)</f>
        <v>0.94648694155565871</v>
      </c>
      <c r="K131" s="29"/>
      <c r="L131" s="29">
        <f>IF(I131&lt;SUM(L126:L127),0,I131-(SUM(L126:L127)))</f>
        <v>0.94648694155565871</v>
      </c>
      <c r="M131" s="235">
        <f>IF(I131&lt;SUM(M126:M127),0,I131-(SUM(M126:M127)))</f>
        <v>0.94648694155565871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54"/>
      <c r="B132" s="54"/>
      <c r="C132" s="5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56"/>
      <c r="B142" s="56"/>
      <c r="C142" s="56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9"/>
      <c r="C143" s="29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9"/>
      <c r="C144" s="29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9"/>
      <c r="C145" s="29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56"/>
      <c r="C146" s="56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9"/>
      <c r="C147" s="29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9"/>
      <c r="C148" s="29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9"/>
      <c r="C149" s="29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9"/>
      <c r="C150" s="29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9"/>
      <c r="C151" s="29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9"/>
      <c r="C152" s="29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56"/>
      <c r="B153" s="56"/>
      <c r="C153" s="56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70"/>
      <c r="B154" s="56"/>
      <c r="C154" s="56"/>
      <c r="D154" s="2"/>
      <c r="E154" s="2"/>
      <c r="F154" s="2"/>
      <c r="H154" s="2"/>
      <c r="I154" s="2"/>
      <c r="J154" s="2"/>
      <c r="L154" s="2"/>
      <c r="W154" s="71"/>
    </row>
    <row r="155" spans="1:33">
      <c r="A155" s="56"/>
      <c r="B155" s="56"/>
      <c r="C155" s="56"/>
      <c r="D155" s="2"/>
      <c r="E155" s="2"/>
      <c r="F155" s="2"/>
      <c r="H155" s="2"/>
      <c r="I155" s="2"/>
      <c r="J155" s="2"/>
      <c r="L155" s="2"/>
      <c r="W155" s="71"/>
    </row>
    <row r="156" spans="1:33">
      <c r="A156" s="56"/>
      <c r="B156" s="56"/>
      <c r="C156" s="56"/>
      <c r="D156" s="2"/>
      <c r="E156" s="2"/>
      <c r="F156" s="2"/>
      <c r="H156" s="2"/>
      <c r="I156" s="2"/>
      <c r="J156" s="2"/>
      <c r="L156" s="2"/>
      <c r="W156" s="71"/>
    </row>
    <row r="157" spans="1:33">
      <c r="A157" s="29"/>
      <c r="B157" s="56"/>
      <c r="C157" s="56"/>
      <c r="D157" s="2"/>
      <c r="E157" s="2"/>
      <c r="F157" s="2"/>
      <c r="H157" s="2"/>
      <c r="I157" s="2"/>
      <c r="J157" s="2"/>
      <c r="L157" s="2"/>
      <c r="W157" s="71"/>
    </row>
    <row r="158" spans="1:33">
      <c r="A158" s="56"/>
      <c r="B158" s="56"/>
      <c r="C158" s="56"/>
      <c r="D158" s="2"/>
      <c r="E158" s="2"/>
      <c r="F158" s="2"/>
      <c r="H158" s="2"/>
      <c r="I158" s="2"/>
      <c r="J158" s="2"/>
      <c r="L158" s="2"/>
      <c r="W158" s="71"/>
    </row>
    <row r="159" spans="1:33">
      <c r="A159" s="56"/>
      <c r="B159" s="56"/>
      <c r="C159" s="56"/>
      <c r="D159" s="2"/>
      <c r="E159" s="2"/>
      <c r="F159" s="2"/>
      <c r="H159" s="2"/>
      <c r="I159" s="2"/>
      <c r="J159" s="2"/>
      <c r="L159" s="2"/>
    </row>
    <row r="160" spans="1:33">
      <c r="A160" s="56"/>
      <c r="B160" s="56"/>
      <c r="C160" s="56"/>
      <c r="D160" s="2"/>
      <c r="E160" s="2"/>
      <c r="F160" s="2"/>
      <c r="H160" s="2"/>
      <c r="I160" s="2"/>
      <c r="J160" s="2"/>
      <c r="L160" s="2"/>
    </row>
    <row r="161" spans="1:28">
      <c r="A161" s="56"/>
      <c r="B161" s="56"/>
      <c r="C161" s="56"/>
      <c r="D161" s="2"/>
      <c r="E161" s="2"/>
      <c r="F161" s="2"/>
      <c r="H161" s="2"/>
      <c r="I161" s="2"/>
      <c r="J161" s="2"/>
      <c r="L161" s="2"/>
      <c r="AB161" s="71"/>
    </row>
    <row r="162" spans="1:28">
      <c r="A162" s="56"/>
      <c r="B162" s="56"/>
      <c r="C162" s="56"/>
      <c r="D162" s="2"/>
      <c r="E162" s="2"/>
      <c r="F162" s="2"/>
      <c r="H162" s="2"/>
      <c r="I162" s="2"/>
      <c r="J162" s="2"/>
      <c r="L162" s="2"/>
      <c r="AB162" s="71"/>
    </row>
    <row r="163" spans="1:28">
      <c r="A163" s="56"/>
      <c r="B163" s="56"/>
      <c r="C163" s="56"/>
      <c r="D163" s="2"/>
      <c r="E163" s="2"/>
      <c r="F163" s="2"/>
      <c r="H163" s="2"/>
      <c r="I163" s="2"/>
      <c r="J163" s="2"/>
      <c r="L163" s="2"/>
      <c r="AB163" s="71"/>
    </row>
    <row r="164" spans="1:28">
      <c r="A164" s="56"/>
      <c r="B164" s="56"/>
      <c r="C164" s="56"/>
      <c r="D164" s="2"/>
      <c r="E164" s="2"/>
      <c r="F164" s="2"/>
      <c r="H164" s="2"/>
      <c r="I164" s="2"/>
      <c r="J164" s="2"/>
      <c r="L164" s="2"/>
      <c r="AB164" s="71"/>
    </row>
    <row r="165" spans="1:28">
      <c r="A165" s="56"/>
      <c r="B165" s="56"/>
      <c r="C165" s="56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56"/>
      <c r="B166" s="56"/>
      <c r="C166" s="56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56"/>
      <c r="B167" s="56"/>
      <c r="C167" s="56"/>
      <c r="D167" s="2"/>
      <c r="E167" s="2"/>
      <c r="F167" s="2"/>
      <c r="H167" s="2"/>
      <c r="I167" s="2"/>
      <c r="J167" s="2"/>
      <c r="L167" s="2"/>
      <c r="AB167" s="71"/>
    </row>
    <row r="168" spans="1:28">
      <c r="A168" s="56"/>
      <c r="B168" s="56"/>
      <c r="C168" s="56"/>
      <c r="D168" s="2"/>
      <c r="E168" s="2"/>
      <c r="F168" s="2"/>
      <c r="H168" s="2"/>
      <c r="I168" s="2"/>
      <c r="J168" s="2"/>
      <c r="L168" s="2"/>
      <c r="AB168" s="71"/>
    </row>
    <row r="169" spans="1:28">
      <c r="A169" s="56"/>
      <c r="B169" s="56"/>
      <c r="C169" s="56"/>
      <c r="D169" s="2"/>
      <c r="E169" s="2"/>
      <c r="F169" s="2"/>
      <c r="H169" s="2"/>
      <c r="I169" s="2"/>
      <c r="J169" s="2"/>
      <c r="L169" s="2"/>
      <c r="AB169" s="71"/>
    </row>
    <row r="170" spans="1:28">
      <c r="A170" s="56"/>
      <c r="B170" s="56"/>
      <c r="C170" s="56"/>
      <c r="D170" s="2"/>
      <c r="E170" s="2"/>
      <c r="F170" s="2"/>
      <c r="H170" s="2"/>
      <c r="I170" s="2"/>
      <c r="J170" s="2"/>
      <c r="L170" s="2"/>
    </row>
    <row r="171" spans="1:28">
      <c r="A171" s="56"/>
      <c r="B171" s="56"/>
      <c r="C171" s="56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56"/>
      <c r="B172" s="56"/>
      <c r="C172" s="56"/>
      <c r="D172" s="2"/>
      <c r="E172" s="2"/>
      <c r="F172" s="2"/>
      <c r="H172" s="2"/>
      <c r="I172" s="2"/>
      <c r="J172" s="2"/>
      <c r="L172" s="2"/>
      <c r="W172" s="72"/>
    </row>
    <row r="173" spans="1:28">
      <c r="A173" s="56"/>
      <c r="B173" s="56"/>
      <c r="C173" s="56"/>
      <c r="D173" s="2"/>
      <c r="E173" s="2"/>
      <c r="F173" s="2"/>
      <c r="H173" s="2"/>
      <c r="I173" s="2"/>
      <c r="J173" s="2"/>
      <c r="L173" s="2"/>
    </row>
    <row r="174" spans="1:28">
      <c r="A174" s="56"/>
      <c r="B174" s="56"/>
      <c r="C174" s="56"/>
      <c r="D174" s="2"/>
      <c r="E174" s="2"/>
      <c r="F174" s="2"/>
      <c r="H174" s="2"/>
      <c r="I174" s="2"/>
      <c r="J174" s="2"/>
      <c r="L174" s="2"/>
    </row>
    <row r="175" spans="1:28">
      <c r="A175" s="56"/>
      <c r="B175" s="56"/>
      <c r="C175" s="56"/>
      <c r="D175" s="2"/>
      <c r="E175" s="2"/>
      <c r="F175" s="2"/>
      <c r="H175" s="2"/>
      <c r="I175" s="2"/>
      <c r="J175" s="2"/>
      <c r="L175" s="2"/>
      <c r="AB175" s="71"/>
    </row>
    <row r="176" spans="1:28">
      <c r="A176" s="56"/>
      <c r="B176" s="56"/>
      <c r="C176" s="56"/>
      <c r="D176" s="2"/>
      <c r="E176" s="2"/>
      <c r="F176" s="2"/>
      <c r="H176" s="2"/>
      <c r="I176" s="2"/>
      <c r="J176" s="2"/>
      <c r="L176" s="2"/>
      <c r="AB176" s="71"/>
    </row>
    <row r="177" spans="1:28">
      <c r="A177" s="56"/>
      <c r="B177" s="56"/>
      <c r="C177" s="56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56"/>
      <c r="B178" s="56"/>
      <c r="C178" s="56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56"/>
      <c r="B179" s="56"/>
      <c r="C179" s="56"/>
      <c r="D179" s="2"/>
      <c r="E179" s="2"/>
      <c r="F179" s="2"/>
      <c r="H179" s="2"/>
      <c r="I179" s="2"/>
      <c r="J179" s="2"/>
      <c r="L179" s="2"/>
      <c r="AB179" s="71"/>
    </row>
    <row r="180" spans="1:28">
      <c r="A180" s="56"/>
      <c r="B180" s="56"/>
      <c r="C180" s="56"/>
      <c r="D180" s="2"/>
      <c r="E180" s="2"/>
      <c r="F180" s="2"/>
      <c r="H180" s="2"/>
      <c r="I180" s="2"/>
      <c r="J180" s="2"/>
      <c r="L180" s="2"/>
      <c r="AB180" s="71"/>
    </row>
    <row r="181" spans="1:28">
      <c r="A181" s="56"/>
      <c r="B181" s="56"/>
      <c r="C181" s="56"/>
      <c r="D181" s="2"/>
      <c r="E181" s="2"/>
      <c r="F181" s="2"/>
      <c r="H181" s="2"/>
      <c r="I181" s="2"/>
      <c r="J181" s="2"/>
      <c r="L181" s="2"/>
    </row>
    <row r="182" spans="1:28">
      <c r="A182" s="56"/>
      <c r="B182" s="56"/>
      <c r="C182" s="56"/>
      <c r="D182" s="2"/>
      <c r="E182" s="2"/>
      <c r="F182" s="2"/>
      <c r="H182" s="2"/>
      <c r="I182" s="2"/>
      <c r="J182" s="2"/>
      <c r="L182" s="2"/>
    </row>
    <row r="183" spans="1:28">
      <c r="A183" s="56"/>
      <c r="B183" s="56"/>
      <c r="C183" s="56"/>
      <c r="D183" s="2"/>
      <c r="E183" s="2"/>
      <c r="F183" s="2"/>
      <c r="H183" s="2"/>
      <c r="I183" s="2"/>
      <c r="J183" s="2"/>
      <c r="L183" s="2"/>
    </row>
    <row r="184" spans="1:28">
      <c r="A184" s="56"/>
      <c r="B184" s="56"/>
      <c r="C184" s="56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Z1:AA1"/>
    <mergeCell ref="AB1:AC1"/>
    <mergeCell ref="AD1:AE1"/>
    <mergeCell ref="AF1:AG1"/>
    <mergeCell ref="Z2:AA2"/>
    <mergeCell ref="AB2:AC2"/>
    <mergeCell ref="AD2:AE2"/>
    <mergeCell ref="AF2:AG2"/>
  </mergeCells>
  <phoneticPr fontId="1" type="noConversion"/>
  <conditionalFormatting sqref="N27:N29 U7:U22">
    <cfRule type="cellIs" dxfId="584" priority="148" operator="equal">
      <formula>16</formula>
    </cfRule>
    <cfRule type="cellIs" dxfId="583" priority="149" operator="equal">
      <formula>15</formula>
    </cfRule>
    <cfRule type="cellIs" dxfId="582" priority="150" operator="equal">
      <formula>14</formula>
    </cfRule>
    <cfRule type="cellIs" dxfId="581" priority="151" operator="equal">
      <formula>13</formula>
    </cfRule>
    <cfRule type="cellIs" dxfId="580" priority="152" operator="equal">
      <formula>12</formula>
    </cfRule>
    <cfRule type="cellIs" dxfId="579" priority="153" operator="equal">
      <formula>11</formula>
    </cfRule>
    <cfRule type="cellIs" dxfId="578" priority="154" operator="equal">
      <formula>10</formula>
    </cfRule>
    <cfRule type="cellIs" dxfId="577" priority="155" operator="equal">
      <formula>9</formula>
    </cfRule>
    <cfRule type="cellIs" dxfId="576" priority="156" operator="equal">
      <formula>8</formula>
    </cfRule>
    <cfRule type="cellIs" dxfId="575" priority="157" operator="equal">
      <formula>7</formula>
    </cfRule>
    <cfRule type="cellIs" dxfId="574" priority="158" operator="equal">
      <formula>6</formula>
    </cfRule>
    <cfRule type="cellIs" dxfId="573" priority="159" operator="equal">
      <formula>5</formula>
    </cfRule>
    <cfRule type="cellIs" dxfId="572" priority="160" operator="equal">
      <formula>4</formula>
    </cfRule>
    <cfRule type="cellIs" dxfId="571" priority="161" operator="equal">
      <formula>3</formula>
    </cfRule>
    <cfRule type="cellIs" dxfId="570" priority="162" operator="equal">
      <formula>2</formula>
    </cfRule>
    <cfRule type="cellIs" dxfId="569" priority="163" operator="equal">
      <formula>1</formula>
    </cfRule>
  </conditionalFormatting>
  <conditionalFormatting sqref="N112:N118">
    <cfRule type="cellIs" dxfId="568" priority="84" operator="equal">
      <formula>16</formula>
    </cfRule>
    <cfRule type="cellIs" dxfId="567" priority="85" operator="equal">
      <formula>15</formula>
    </cfRule>
    <cfRule type="cellIs" dxfId="566" priority="86" operator="equal">
      <formula>14</formula>
    </cfRule>
    <cfRule type="cellIs" dxfId="565" priority="87" operator="equal">
      <formula>13</formula>
    </cfRule>
    <cfRule type="cellIs" dxfId="564" priority="88" operator="equal">
      <formula>12</formula>
    </cfRule>
    <cfRule type="cellIs" dxfId="563" priority="89" operator="equal">
      <formula>11</formula>
    </cfRule>
    <cfRule type="cellIs" dxfId="562" priority="90" operator="equal">
      <formula>10</formula>
    </cfRule>
    <cfRule type="cellIs" dxfId="561" priority="91" operator="equal">
      <formula>9</formula>
    </cfRule>
    <cfRule type="cellIs" dxfId="560" priority="92" operator="equal">
      <formula>8</formula>
    </cfRule>
    <cfRule type="cellIs" dxfId="559" priority="93" operator="equal">
      <formula>7</formula>
    </cfRule>
    <cfRule type="cellIs" dxfId="558" priority="94" operator="equal">
      <formula>6</formula>
    </cfRule>
    <cfRule type="cellIs" dxfId="557" priority="95" operator="equal">
      <formula>5</formula>
    </cfRule>
    <cfRule type="cellIs" dxfId="556" priority="96" operator="equal">
      <formula>4</formula>
    </cfRule>
    <cfRule type="cellIs" dxfId="555" priority="97" operator="equal">
      <formula>3</formula>
    </cfRule>
    <cfRule type="cellIs" dxfId="554" priority="98" operator="equal">
      <formula>2</formula>
    </cfRule>
    <cfRule type="cellIs" dxfId="553" priority="99" operator="equal">
      <formula>1</formula>
    </cfRule>
  </conditionalFormatting>
  <conditionalFormatting sqref="N91:N104">
    <cfRule type="cellIs" dxfId="552" priority="68" operator="equal">
      <formula>16</formula>
    </cfRule>
    <cfRule type="cellIs" dxfId="551" priority="69" operator="equal">
      <formula>15</formula>
    </cfRule>
    <cfRule type="cellIs" dxfId="550" priority="70" operator="equal">
      <formula>14</formula>
    </cfRule>
    <cfRule type="cellIs" dxfId="549" priority="71" operator="equal">
      <formula>13</formula>
    </cfRule>
    <cfRule type="cellIs" dxfId="548" priority="72" operator="equal">
      <formula>12</formula>
    </cfRule>
    <cfRule type="cellIs" dxfId="547" priority="73" operator="equal">
      <formula>11</formula>
    </cfRule>
    <cfRule type="cellIs" dxfId="546" priority="74" operator="equal">
      <formula>10</formula>
    </cfRule>
    <cfRule type="cellIs" dxfId="545" priority="75" operator="equal">
      <formula>9</formula>
    </cfRule>
    <cfRule type="cellIs" dxfId="544" priority="76" operator="equal">
      <formula>8</formula>
    </cfRule>
    <cfRule type="cellIs" dxfId="543" priority="77" operator="equal">
      <formula>7</formula>
    </cfRule>
    <cfRule type="cellIs" dxfId="542" priority="78" operator="equal">
      <formula>6</formula>
    </cfRule>
    <cfRule type="cellIs" dxfId="541" priority="79" operator="equal">
      <formula>5</formula>
    </cfRule>
    <cfRule type="cellIs" dxfId="540" priority="80" operator="equal">
      <formula>4</formula>
    </cfRule>
    <cfRule type="cellIs" dxfId="539" priority="81" operator="equal">
      <formula>3</formula>
    </cfRule>
    <cfRule type="cellIs" dxfId="538" priority="82" operator="equal">
      <formula>2</formula>
    </cfRule>
    <cfRule type="cellIs" dxfId="537" priority="83" operator="equal">
      <formula>1</formula>
    </cfRule>
  </conditionalFormatting>
  <conditionalFormatting sqref="N105:N111">
    <cfRule type="cellIs" dxfId="536" priority="52" operator="equal">
      <formula>16</formula>
    </cfRule>
    <cfRule type="cellIs" dxfId="535" priority="53" operator="equal">
      <formula>15</formula>
    </cfRule>
    <cfRule type="cellIs" dxfId="534" priority="54" operator="equal">
      <formula>14</formula>
    </cfRule>
    <cfRule type="cellIs" dxfId="533" priority="55" operator="equal">
      <formula>13</formula>
    </cfRule>
    <cfRule type="cellIs" dxfId="532" priority="56" operator="equal">
      <formula>12</formula>
    </cfRule>
    <cfRule type="cellIs" dxfId="531" priority="57" operator="equal">
      <formula>11</formula>
    </cfRule>
    <cfRule type="cellIs" dxfId="530" priority="58" operator="equal">
      <formula>10</formula>
    </cfRule>
    <cfRule type="cellIs" dxfId="529" priority="59" operator="equal">
      <formula>9</formula>
    </cfRule>
    <cfRule type="cellIs" dxfId="528" priority="60" operator="equal">
      <formula>8</formula>
    </cfRule>
    <cfRule type="cellIs" dxfId="527" priority="61" operator="equal">
      <formula>7</formula>
    </cfRule>
    <cfRule type="cellIs" dxfId="526" priority="62" operator="equal">
      <formula>6</formula>
    </cfRule>
    <cfRule type="cellIs" dxfId="525" priority="63" operator="equal">
      <formula>5</formula>
    </cfRule>
    <cfRule type="cellIs" dxfId="524" priority="64" operator="equal">
      <formula>4</formula>
    </cfRule>
    <cfRule type="cellIs" dxfId="523" priority="65" operator="equal">
      <formula>3</formula>
    </cfRule>
    <cfRule type="cellIs" dxfId="522" priority="66" operator="equal">
      <formula>2</formula>
    </cfRule>
    <cfRule type="cellIs" dxfId="521" priority="67" operator="equal">
      <formula>1</formula>
    </cfRule>
  </conditionalFormatting>
  <conditionalFormatting sqref="N6:N26">
    <cfRule type="cellIs" dxfId="520" priority="36" operator="equal">
      <formula>16</formula>
    </cfRule>
    <cfRule type="cellIs" dxfId="519" priority="37" operator="equal">
      <formula>15</formula>
    </cfRule>
    <cfRule type="cellIs" dxfId="518" priority="38" operator="equal">
      <formula>14</formula>
    </cfRule>
    <cfRule type="cellIs" dxfId="517" priority="39" operator="equal">
      <formula>13</formula>
    </cfRule>
    <cfRule type="cellIs" dxfId="516" priority="40" operator="equal">
      <formula>12</formula>
    </cfRule>
    <cfRule type="cellIs" dxfId="515" priority="41" operator="equal">
      <formula>11</formula>
    </cfRule>
    <cfRule type="cellIs" dxfId="514" priority="42" operator="equal">
      <formula>10</formula>
    </cfRule>
    <cfRule type="cellIs" dxfId="513" priority="43" operator="equal">
      <formula>9</formula>
    </cfRule>
    <cfRule type="cellIs" dxfId="512" priority="44" operator="equal">
      <formula>8</formula>
    </cfRule>
    <cfRule type="cellIs" dxfId="511" priority="45" operator="equal">
      <formula>7</formula>
    </cfRule>
    <cfRule type="cellIs" dxfId="510" priority="46" operator="equal">
      <formula>6</formula>
    </cfRule>
    <cfRule type="cellIs" dxfId="509" priority="47" operator="equal">
      <formula>5</formula>
    </cfRule>
    <cfRule type="cellIs" dxfId="508" priority="48" operator="equal">
      <formula>4</formula>
    </cfRule>
    <cfRule type="cellIs" dxfId="507" priority="49" operator="equal">
      <formula>3</formula>
    </cfRule>
    <cfRule type="cellIs" dxfId="506" priority="50" operator="equal">
      <formula>2</formula>
    </cfRule>
    <cfRule type="cellIs" dxfId="505" priority="51" operator="equal">
      <formula>1</formula>
    </cfRule>
  </conditionalFormatting>
  <conditionalFormatting sqref="R31:T31">
    <cfRule type="cellIs" dxfId="504" priority="35" operator="greaterThan">
      <formula>0</formula>
    </cfRule>
  </conditionalFormatting>
  <conditionalFormatting sqref="R32:T32">
    <cfRule type="cellIs" dxfId="503" priority="34" operator="greaterThan">
      <formula>0</formula>
    </cfRule>
  </conditionalFormatting>
  <conditionalFormatting sqref="R30:T30">
    <cfRule type="cellIs" dxfId="502" priority="33" operator="greaterThan">
      <formula>0</formula>
    </cfRule>
  </conditionalFormatting>
  <conditionalFormatting sqref="N37:N50">
    <cfRule type="cellIs" dxfId="191" priority="17" operator="equal">
      <formula>16</formula>
    </cfRule>
    <cfRule type="cellIs" dxfId="190" priority="18" operator="equal">
      <formula>15</formula>
    </cfRule>
    <cfRule type="cellIs" dxfId="189" priority="19" operator="equal">
      <formula>14</formula>
    </cfRule>
    <cfRule type="cellIs" dxfId="188" priority="20" operator="equal">
      <formula>13</formula>
    </cfRule>
    <cfRule type="cellIs" dxfId="187" priority="21" operator="equal">
      <formula>12</formula>
    </cfRule>
    <cfRule type="cellIs" dxfId="186" priority="22" operator="equal">
      <formula>11</formula>
    </cfRule>
    <cfRule type="cellIs" dxfId="185" priority="23" operator="equal">
      <formula>10</formula>
    </cfRule>
    <cfRule type="cellIs" dxfId="184" priority="24" operator="equal">
      <formula>9</formula>
    </cfRule>
    <cfRule type="cellIs" dxfId="183" priority="25" operator="equal">
      <formula>8</formula>
    </cfRule>
    <cfRule type="cellIs" dxfId="182" priority="26" operator="equal">
      <formula>7</formula>
    </cfRule>
    <cfRule type="cellIs" dxfId="181" priority="27" operator="equal">
      <formula>6</formula>
    </cfRule>
    <cfRule type="cellIs" dxfId="180" priority="28" operator="equal">
      <formula>5</formula>
    </cfRule>
    <cfRule type="cellIs" dxfId="179" priority="29" operator="equal">
      <formula>4</formula>
    </cfRule>
    <cfRule type="cellIs" dxfId="178" priority="30" operator="equal">
      <formula>3</formula>
    </cfRule>
    <cfRule type="cellIs" dxfId="177" priority="31" operator="equal">
      <formula>2</formula>
    </cfRule>
    <cfRule type="cellIs" dxfId="176" priority="32" operator="equal">
      <formula>1</formula>
    </cfRule>
  </conditionalFormatting>
  <conditionalFormatting sqref="N51:N52">
    <cfRule type="cellIs" dxfId="159" priority="1" operator="equal">
      <formula>16</formula>
    </cfRule>
    <cfRule type="cellIs" dxfId="158" priority="2" operator="equal">
      <formula>15</formula>
    </cfRule>
    <cfRule type="cellIs" dxfId="157" priority="3" operator="equal">
      <formula>14</formula>
    </cfRule>
    <cfRule type="cellIs" dxfId="156" priority="4" operator="equal">
      <formula>13</formula>
    </cfRule>
    <cfRule type="cellIs" dxfId="155" priority="5" operator="equal">
      <formula>12</formula>
    </cfRule>
    <cfRule type="cellIs" dxfId="154" priority="6" operator="equal">
      <formula>11</formula>
    </cfRule>
    <cfRule type="cellIs" dxfId="153" priority="7" operator="equal">
      <formula>10</formula>
    </cfRule>
    <cfRule type="cellIs" dxfId="152" priority="8" operator="equal">
      <formula>9</formula>
    </cfRule>
    <cfRule type="cellIs" dxfId="151" priority="9" operator="equal">
      <formula>8</formula>
    </cfRule>
    <cfRule type="cellIs" dxfId="150" priority="10" operator="equal">
      <formula>7</formula>
    </cfRule>
    <cfRule type="cellIs" dxfId="149" priority="11" operator="equal">
      <formula>6</formula>
    </cfRule>
    <cfRule type="cellIs" dxfId="148" priority="12" operator="equal">
      <formula>5</formula>
    </cfRule>
    <cfRule type="cellIs" dxfId="147" priority="13" operator="equal">
      <formula>4</formula>
    </cfRule>
    <cfRule type="cellIs" dxfId="146" priority="14" operator="equal">
      <formula>3</formula>
    </cfRule>
    <cfRule type="cellIs" dxfId="145" priority="15" operator="equal">
      <formula>2</formula>
    </cfRule>
    <cfRule type="cellIs" dxfId="144" priority="16" operator="equal">
      <formula>1</formula>
    </cfRule>
  </conditionalFormatting>
  <pageMargins left="0.74803149606299213" right="0.74803149606299213" top="0.39370078740157483" bottom="0.39370078740157483" header="0.19685039370078741" footer="0.19685039370078741"/>
  <pageSetup paperSize="9" scale="36"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M25" activePane="bottomRight" state="frozen"/>
      <selection pane="topRight" activeCell="B1" sqref="B1"/>
      <selection pane="bottomLeft" activeCell="A3" sqref="A3"/>
      <selection pane="bottomRight" activeCell="N37" sqref="N37:N52"/>
    </sheetView>
  </sheetViews>
  <sheetFormatPr baseColWidth="10" defaultColWidth="8" defaultRowHeight="15" x14ac:dyDescent="0"/>
  <cols>
    <col min="1" max="1" width="21.855468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ZAKHC: 59208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2" t="str">
        <f>Poor!Z2</f>
        <v>Q1</v>
      </c>
      <c r="AA2" s="253"/>
      <c r="AB2" s="252" t="str">
        <f>Poor!AB2</f>
        <v>Q2</v>
      </c>
      <c r="AC2" s="253"/>
      <c r="AD2" s="252" t="str">
        <f>Poor!AD2</f>
        <v>Q3</v>
      </c>
      <c r="AE2" s="253"/>
      <c r="AF2" s="252" t="str">
        <f>Poor!AF2</f>
        <v>Q4</v>
      </c>
      <c r="AG2" s="253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46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101">
        <f>IF([1]Summ!$H1044="",0,[1]Summ!$H1044)</f>
        <v>8.0457214018857859E-2</v>
      </c>
      <c r="C6" s="102">
        <f>IF([1]Summ!$I1044="",0,[1]Summ!$I1044)</f>
        <v>0</v>
      </c>
      <c r="D6" s="24">
        <f t="shared" ref="D6:D29" si="0">(B6+C6)</f>
        <v>8.0457214018857859E-2</v>
      </c>
      <c r="E6" s="75">
        <f>Poor!E6</f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1.6091442803771571E-2</v>
      </c>
      <c r="J6" s="24">
        <f t="shared" ref="J6:J13" si="3">IF(I$32&lt;=1+I$131,I6,B6*H6+J$33*(I6-B6*H6))</f>
        <v>1.6091442803771571E-2</v>
      </c>
      <c r="K6" s="22">
        <f t="shared" ref="K6:K31" si="4">B6</f>
        <v>8.0457214018857859E-2</v>
      </c>
      <c r="L6" s="22">
        <f t="shared" ref="L6:L29" si="5">IF(K6="","",K6*H6)</f>
        <v>1.6091442803771571E-2</v>
      </c>
      <c r="M6" s="222">
        <f t="shared" ref="M6:M31" si="6">J6</f>
        <v>1.6091442803771571E-2</v>
      </c>
      <c r="N6" s="227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6.4365771215086284E-2</v>
      </c>
      <c r="Z6" s="156">
        <f>Poor!Z6</f>
        <v>0.17</v>
      </c>
      <c r="AA6" s="121">
        <f>$M6*Z6*4</f>
        <v>1.0942181106564669E-2</v>
      </c>
      <c r="AB6" s="156">
        <f>Poor!AB6</f>
        <v>0.17</v>
      </c>
      <c r="AC6" s="121">
        <f t="shared" ref="AC6:AC29" si="7">$M6*AB6*4</f>
        <v>1.0942181106564669E-2</v>
      </c>
      <c r="AD6" s="156">
        <f>Poor!AD6</f>
        <v>0.33</v>
      </c>
      <c r="AE6" s="121">
        <f t="shared" ref="AE6:AE29" si="8">$M6*AD6*4</f>
        <v>2.1240704500978473E-2</v>
      </c>
      <c r="AF6" s="122">
        <f>1-SUM(Z6,AB6,AD6)</f>
        <v>0.32999999999999996</v>
      </c>
      <c r="AG6" s="121">
        <f>$M6*AF6*4</f>
        <v>2.124070450097847E-2</v>
      </c>
      <c r="AH6" s="123">
        <f>SUM(Z6,AB6,AD6,AF6)</f>
        <v>1</v>
      </c>
      <c r="AI6" s="183">
        <f>SUM(AA6,AC6,AE6,AG6)/4</f>
        <v>1.6091442803771571E-2</v>
      </c>
      <c r="AJ6" s="120">
        <f>(AA6+AC6)/2</f>
        <v>1.0942181106564669E-2</v>
      </c>
      <c r="AK6" s="119">
        <f>(AE6+AG6)/2</f>
        <v>2.1240704500978473E-2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Own meat</v>
      </c>
      <c r="B7" s="101">
        <f>IF([1]Summ!$H1045="",0,[1]Summ!$H1045)</f>
        <v>6.0258338373954806E-2</v>
      </c>
      <c r="C7" s="102">
        <f>IF([1]Summ!$I1045="",0,[1]Summ!$I1045)</f>
        <v>0</v>
      </c>
      <c r="D7" s="24">
        <f t="shared" si="0"/>
        <v>6.0258338373954806E-2</v>
      </c>
      <c r="E7" s="75">
        <f>Poor!E7</f>
        <v>0.2</v>
      </c>
      <c r="F7" s="27">
        <v>8800</v>
      </c>
      <c r="H7" s="24">
        <f t="shared" si="1"/>
        <v>0.2</v>
      </c>
      <c r="I7" s="22">
        <f t="shared" si="2"/>
        <v>1.2051667674790961E-2</v>
      </c>
      <c r="J7" s="24">
        <f t="shared" si="3"/>
        <v>1.2051667674790961E-2</v>
      </c>
      <c r="K7" s="22">
        <f t="shared" si="4"/>
        <v>6.0258338373954806E-2</v>
      </c>
      <c r="L7" s="22">
        <f t="shared" si="5"/>
        <v>1.2051667674790961E-2</v>
      </c>
      <c r="M7" s="222">
        <f t="shared" si="6"/>
        <v>1.2051667674790961E-2</v>
      </c>
      <c r="N7" s="227">
        <v>3</v>
      </c>
      <c r="O7" s="2"/>
      <c r="P7" s="22"/>
      <c r="Q7" s="59" t="s">
        <v>71</v>
      </c>
      <c r="R7" s="220">
        <f>IF($B$81=0,0,(SUMIF($N$6:$N$28,$U7,K$6:K$28)+SUMIF($N$91:$N$118,$U7,K$91:K$118))*$B$83*$H$84*Poor!$B$81/$B$81)</f>
        <v>3726.3812702696764</v>
      </c>
      <c r="S7" s="220">
        <f>IF($B$81=0,0,(SUMIF($N$6:$N$28,$U7,L$6:L$28)+SUMIF($N$91:$N$118,$U7,L$91:L$118))*$I$83*Poor!$B$81/$B$81)</f>
        <v>953.92721411942591</v>
      </c>
      <c r="T7" s="220">
        <f>IF($B$81=0,0,(SUMIF($N$6:$N$28,$U7,M$6:M$28)+SUMIF($N$91:$N$118,$U7,M$91:M$118))*$I$83*Poor!$B$81/$B$81)</f>
        <v>6814.0638253633415</v>
      </c>
      <c r="U7" s="221">
        <v>1</v>
      </c>
      <c r="V7" s="56"/>
      <c r="W7" s="115"/>
      <c r="X7" s="118">
        <f>Poor!X7</f>
        <v>4</v>
      </c>
      <c r="Y7" s="183">
        <f t="shared" ref="Y7:Y29" si="9">M7*4</f>
        <v>4.8206670699163845E-2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4.8206670699163845E-2</v>
      </c>
      <c r="AH7" s="123">
        <f t="shared" ref="AH7:AH30" si="12">SUM(Z7,AB7,AD7,AF7)</f>
        <v>1</v>
      </c>
      <c r="AI7" s="183">
        <f t="shared" ref="AI7:AI30" si="13">SUM(AA7,AC7,AE7,AG7)/4</f>
        <v>1.2051667674790961E-2</v>
      </c>
      <c r="AJ7" s="120">
        <f t="shared" ref="AJ7:AJ31" si="14">(AA7+AC7)/2</f>
        <v>0</v>
      </c>
      <c r="AK7" s="119">
        <f t="shared" ref="AK7:AK31" si="15">(AE7+AG7)/2</f>
        <v>2.4103335349581922E-2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Maize: kg produced</v>
      </c>
      <c r="B8" s="101">
        <f>IF([1]Summ!$H1046="",0,[1]Summ!$H1046)</f>
        <v>6.759510763209392E-2</v>
      </c>
      <c r="C8" s="102">
        <f>IF([1]Summ!$I1046="",0,[1]Summ!$I1046)</f>
        <v>0.67595107632093931</v>
      </c>
      <c r="D8" s="24">
        <f t="shared" si="0"/>
        <v>0.74354618395303329</v>
      </c>
      <c r="E8" s="75">
        <f>Poor!E8</f>
        <v>0.3</v>
      </c>
      <c r="F8" s="22" t="s">
        <v>23</v>
      </c>
      <c r="H8" s="24">
        <f t="shared" si="1"/>
        <v>0.3</v>
      </c>
      <c r="I8" s="22">
        <f t="shared" si="2"/>
        <v>0.22306385518590999</v>
      </c>
      <c r="J8" s="24">
        <f t="shared" si="3"/>
        <v>0.25085930491391095</v>
      </c>
      <c r="K8" s="22">
        <f t="shared" si="4"/>
        <v>6.759510763209392E-2</v>
      </c>
      <c r="L8" s="22">
        <f t="shared" si="5"/>
        <v>2.0278532289628174E-2</v>
      </c>
      <c r="M8" s="222">
        <f t="shared" si="6"/>
        <v>0.25085930491391095</v>
      </c>
      <c r="N8" s="227">
        <v>1</v>
      </c>
      <c r="O8" s="2"/>
      <c r="P8" s="22"/>
      <c r="Q8" s="59" t="s">
        <v>72</v>
      </c>
      <c r="R8" s="220">
        <f>IF($B$81=0,0,(SUMIF($N$6:$N$28,$U8,K$6:K$28)+SUMIF($N$91:$N$118,$U8,K$91:K$118))*$B$83*$H$84*Poor!$B$81/$B$81)</f>
        <v>37840.38673597858</v>
      </c>
      <c r="S8" s="220">
        <f>IF($B$81=0,0,(SUMIF($N$6:$N$28,$U8,L$6:L$28)+SUMIF($N$91:$N$118,$U8,L$91:L$118))*$I$83*Poor!$B$81/$B$81)</f>
        <v>7471.9999999999982</v>
      </c>
      <c r="T8" s="220">
        <f>IF($B$81=0,0,(SUMIF($N$6:$N$28,$U8,M$6:M$28)+SUMIF($N$91:$N$118,$U8,M$91:M$118))*$I$83*Poor!$B$81/$B$81)</f>
        <v>5252.4425796988826</v>
      </c>
      <c r="U8" s="221">
        <v>2</v>
      </c>
      <c r="V8" s="56"/>
      <c r="W8" s="115"/>
      <c r="X8" s="118">
        <f>Poor!X8</f>
        <v>1</v>
      </c>
      <c r="Y8" s="183">
        <f t="shared" si="9"/>
        <v>1.0034372196556438</v>
      </c>
      <c r="Z8" s="125">
        <f>IF($Y8=0,0,AA8/$Y8)</f>
        <v>0.46652611640413527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0.46812966914131071</v>
      </c>
      <c r="AB8" s="125">
        <f>IF($Y8=0,0,AC8/$Y8)</f>
        <v>0.46652611640413527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0.46812966914131071</v>
      </c>
      <c r="AD8" s="125">
        <f>IF($Y8=0,0,AE8/$Y8)</f>
        <v>6.6947767191729513E-2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6.7177881373022386E-2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0.25085930491391095</v>
      </c>
      <c r="AJ8" s="120">
        <f t="shared" si="14"/>
        <v>0.46812966914131071</v>
      </c>
      <c r="AK8" s="119">
        <f t="shared" si="15"/>
        <v>3.3588940686511193E-2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Beans: kg produced</v>
      </c>
      <c r="B9" s="101">
        <f>IF([1]Summ!$H1047="",0,[1]Summ!$H1047)</f>
        <v>3.1563004803415763E-2</v>
      </c>
      <c r="C9" s="102">
        <f>IF([1]Summ!$I1047="",0,[1]Summ!$I1047)</f>
        <v>0</v>
      </c>
      <c r="D9" s="24">
        <f t="shared" si="0"/>
        <v>3.1563004803415763E-2</v>
      </c>
      <c r="E9" s="75">
        <f>Poor!E9</f>
        <v>0.2</v>
      </c>
      <c r="F9" s="76">
        <f>Poor!F9</f>
        <v>8800</v>
      </c>
      <c r="H9" s="24">
        <f t="shared" si="1"/>
        <v>0.2</v>
      </c>
      <c r="I9" s="22">
        <f t="shared" si="2"/>
        <v>6.3126009606831526E-3</v>
      </c>
      <c r="J9" s="24">
        <f t="shared" si="3"/>
        <v>6.3126009606831526E-3</v>
      </c>
      <c r="K9" s="22">
        <f t="shared" si="4"/>
        <v>3.1563004803415763E-2</v>
      </c>
      <c r="L9" s="22">
        <f t="shared" si="5"/>
        <v>6.3126009606831526E-3</v>
      </c>
      <c r="M9" s="222">
        <f t="shared" si="6"/>
        <v>6.3126009606831526E-3</v>
      </c>
      <c r="N9" s="227">
        <v>1</v>
      </c>
      <c r="O9" s="2"/>
      <c r="P9" s="22"/>
      <c r="Q9" s="59" t="s">
        <v>73</v>
      </c>
      <c r="R9" s="220">
        <f>IF($B$81=0,0,(SUMIF($N$6:$N$28,$U9,K$6:K$28)+SUMIF($N$91:$N$118,$U9,K$91:K$118))*$B$83*$H$84*Poor!$B$81/$B$81)</f>
        <v>2475.9718923349787</v>
      </c>
      <c r="S9" s="220">
        <f>IF($B$81=0,0,(SUMIF($N$6:$N$28,$U9,L$6:L$28)+SUMIF($N$91:$N$118,$U9,L$91:L$118))*$I$83*Poor!$B$81/$B$81)</f>
        <v>546.60016855377023</v>
      </c>
      <c r="T9" s="220">
        <f>IF($B$81=0,0,(SUMIF($N$6:$N$28,$U9,M$6:M$28)+SUMIF($N$91:$N$118,$U9,M$91:M$118))*$I$83*Poor!$B$81/$B$81)</f>
        <v>546.60016855377023</v>
      </c>
      <c r="U9" s="221">
        <v>3</v>
      </c>
      <c r="V9" s="56"/>
      <c r="W9" s="115"/>
      <c r="X9" s="118">
        <f>Poor!X9</f>
        <v>1</v>
      </c>
      <c r="Y9" s="183">
        <f t="shared" si="9"/>
        <v>2.5250403842732611E-2</v>
      </c>
      <c r="Z9" s="125">
        <f>IF($Y9=0,0,AA9/$Y9)</f>
        <v>0.46652611640413527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1.1779972842386098E-2</v>
      </c>
      <c r="AB9" s="125">
        <f>IF($Y9=0,0,AC9/$Y9)</f>
        <v>0.46652611640413527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1.1779972842386098E-2</v>
      </c>
      <c r="AD9" s="125">
        <f>IF($Y9=0,0,AE9/$Y9)</f>
        <v>6.6947767191729485E-2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1.6904581579604144E-3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6.3126009606831526E-3</v>
      </c>
      <c r="AJ9" s="120">
        <f t="shared" si="14"/>
        <v>1.1779972842386098E-2</v>
      </c>
      <c r="AK9" s="119">
        <f t="shared" si="15"/>
        <v>8.4522907898020722E-4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potatoes: kg produced</v>
      </c>
      <c r="B10" s="101">
        <f>IF([1]Summ!$H1048="",0,[1]Summ!$H1048)</f>
        <v>0.11262127023661268</v>
      </c>
      <c r="C10" s="102">
        <f>IF([1]Summ!$I1048="",0,[1]Summ!$I1048)</f>
        <v>0.31283686176836861</v>
      </c>
      <c r="D10" s="24">
        <f t="shared" si="0"/>
        <v>0.42545813200498128</v>
      </c>
      <c r="E10" s="75">
        <f>Poor!E10</f>
        <v>0.2</v>
      </c>
      <c r="H10" s="24">
        <f t="shared" si="1"/>
        <v>0.2</v>
      </c>
      <c r="I10" s="22">
        <f t="shared" si="2"/>
        <v>8.5091626400996268E-2</v>
      </c>
      <c r="J10" s="24">
        <f t="shared" si="3"/>
        <v>9.366763292864394E-2</v>
      </c>
      <c r="K10" s="22">
        <f t="shared" si="4"/>
        <v>0.11262127023661268</v>
      </c>
      <c r="L10" s="22">
        <f t="shared" si="5"/>
        <v>2.2524254047322539E-2</v>
      </c>
      <c r="M10" s="222">
        <f t="shared" si="6"/>
        <v>9.366763292864394E-2</v>
      </c>
      <c r="N10" s="227">
        <v>1</v>
      </c>
      <c r="O10" s="2"/>
      <c r="P10" s="22"/>
      <c r="Q10" s="59" t="s">
        <v>74</v>
      </c>
      <c r="R10" s="220">
        <f>IF($B$81=0,0,(SUMIF($N$6:$N$28,$U10,K$6:K$28)+SUMIF($N$91:$N$118,$U10,K$91:K$118))*$B$83*$H$84*Poor!$B$81/$B$81)</f>
        <v>0</v>
      </c>
      <c r="S10" s="220">
        <f>IF($B$81=0,0,(SUMIF($N$6:$N$28,$U10,L$6:L$28)+SUMIF($N$91:$N$118,$U10,L$91:L$118))*$I$83*Poor!$B$81/$B$81)</f>
        <v>0</v>
      </c>
      <c r="T10" s="220">
        <f>IF($B$81=0,0,(SUMIF($N$6:$N$28,$U10,M$6:M$28)+SUMIF($N$91:$N$118,$U10,M$91:M$118))*$I$83*Poor!$B$81/$B$81)</f>
        <v>0</v>
      </c>
      <c r="U10" s="221">
        <v>4</v>
      </c>
      <c r="V10" s="56"/>
      <c r="W10" s="115"/>
      <c r="X10" s="118">
        <f>Poor!X10</f>
        <v>1</v>
      </c>
      <c r="Y10" s="183">
        <f t="shared" si="9"/>
        <v>0.37467053171457576</v>
      </c>
      <c r="Z10" s="125">
        <f>IF($Y10=0,0,AA10/$Y10)</f>
        <v>0.46652611640413533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0.17479358809187345</v>
      </c>
      <c r="AB10" s="125">
        <f>IF($Y10=0,0,AC10/$Y10)</f>
        <v>0.46652611640413533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0.17479358809187345</v>
      </c>
      <c r="AD10" s="125">
        <f>IF($Y10=0,0,AE10/$Y10)</f>
        <v>6.6947767191729318E-2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2.5083355530828855E-2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9.366763292864394E-2</v>
      </c>
      <c r="AJ10" s="120">
        <f t="shared" si="14"/>
        <v>0.17479358809187345</v>
      </c>
      <c r="AK10" s="119">
        <f t="shared" si="15"/>
        <v>1.2541677765414427E-2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/>
      </c>
      <c r="B11" s="101">
        <f>IF([1]Summ!$H1049="",0,[1]Summ!$H1049)</f>
        <v>0</v>
      </c>
      <c r="C11" s="102">
        <f>IF([1]Summ!$I1049="",0,[1]Summ!$I1049)</f>
        <v>0</v>
      </c>
      <c r="D11" s="24">
        <f t="shared" si="0"/>
        <v>0</v>
      </c>
      <c r="E11" s="75">
        <f>Poor!E11</f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2">
        <f t="shared" si="6"/>
        <v>0</v>
      </c>
      <c r="N11" s="227"/>
      <c r="O11" s="2"/>
      <c r="P11" s="22"/>
      <c r="Q11" s="59" t="s">
        <v>75</v>
      </c>
      <c r="R11" s="220">
        <f>IF($B$81=0,0,(SUMIF($N$6:$N$28,$U11,K$6:K$28)+SUMIF($N$91:$N$118,$U11,K$91:K$118))*$B$83*$H$84*Poor!$B$81/$B$81)</f>
        <v>42538.403147894649</v>
      </c>
      <c r="S11" s="220">
        <f>IF($B$81=0,0,(SUMIF($N$6:$N$28,$U11,L$6:L$28)+SUMIF($N$91:$N$118,$U11,L$91:L$118))*$I$83*Poor!$B$81/$B$81)</f>
        <v>17666.285714285714</v>
      </c>
      <c r="T11" s="220">
        <f>IF($B$81=0,0,(SUMIF($N$6:$N$28,$U11,M$6:M$28)+SUMIF($N$91:$N$118,$U11,M$91:M$118))*$I$83*Poor!$B$81/$B$81)</f>
        <v>20733.121494092873</v>
      </c>
      <c r="U11" s="221">
        <v>5</v>
      </c>
      <c r="V11" s="56"/>
      <c r="W11" s="115"/>
      <c r="X11" s="118">
        <f>Poor!X11</f>
        <v>1</v>
      </c>
      <c r="Y11" s="183">
        <f t="shared" si="9"/>
        <v>0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>
        <f t="shared" si="13"/>
        <v>0</v>
      </c>
      <c r="AJ11" s="120">
        <f t="shared" si="14"/>
        <v>0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/>
      </c>
      <c r="B12" s="101">
        <f>IF([1]Summ!$H1050="",0,[1]Summ!$H1050)</f>
        <v>0</v>
      </c>
      <c r="C12" s="102">
        <f>IF([1]Summ!$I1050="",0,[1]Summ!$I1050)</f>
        <v>0</v>
      </c>
      <c r="D12" s="24">
        <f t="shared" si="0"/>
        <v>0</v>
      </c>
      <c r="E12" s="75">
        <f>Poor!E12</f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2">
        <f t="shared" si="6"/>
        <v>0</v>
      </c>
      <c r="N12" s="227"/>
      <c r="O12" s="2"/>
      <c r="P12" s="22"/>
      <c r="Q12" s="126" t="s">
        <v>124</v>
      </c>
      <c r="R12" s="220">
        <f>IF($B$81=0,0,(SUMIF($N$6:$N$28,$U12,K$6:K$28)+SUMIF($N$91:$N$118,$U12,K$91:K$118))*$B$83*$H$84*Poor!$B$81/$B$81)</f>
        <v>0</v>
      </c>
      <c r="S12" s="220">
        <f>IF($B$81=0,0,(SUMIF($N$6:$N$28,$U12,L$6:L$28)+SUMIF($N$91:$N$118,$U12,L$91:L$118))*$I$83*Poor!$B$81/$B$81)</f>
        <v>0</v>
      </c>
      <c r="T12" s="220">
        <f>IF($B$81=0,0,(SUMIF($N$6:$N$28,$U12,M$6:M$28)+SUMIF($N$91:$N$118,$U12,M$91:M$118))*$I$83*Poor!$B$81/$B$81)</f>
        <v>0</v>
      </c>
      <c r="U12" s="221">
        <v>6</v>
      </c>
      <c r="V12" s="56"/>
      <c r="W12" s="117"/>
      <c r="X12" s="118"/>
      <c r="Y12" s="183">
        <f t="shared" si="9"/>
        <v>0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/>
      </c>
      <c r="B13" s="101">
        <f>IF([1]Summ!$H1051="",0,[1]Summ!$H1051)</f>
        <v>0</v>
      </c>
      <c r="C13" s="102">
        <f>IF([1]Summ!$I1051="",0,[1]Summ!$I1051)</f>
        <v>0</v>
      </c>
      <c r="D13" s="24">
        <f t="shared" si="0"/>
        <v>0</v>
      </c>
      <c r="E13" s="75">
        <f>Poor!E13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3">
        <f t="shared" si="6"/>
        <v>0</v>
      </c>
      <c r="N13" s="227"/>
      <c r="O13" s="2"/>
      <c r="P13" s="22"/>
      <c r="Q13" s="59" t="s">
        <v>76</v>
      </c>
      <c r="R13" s="220">
        <f>IF($B$81=0,0,(SUMIF($N$6:$N$28,$U13,K$6:K$28)+SUMIF($N$91:$N$118,$U13,K$91:K$118))*$B$83*$H$84*Poor!$B$81/$B$81)</f>
        <v>32800.696403195871</v>
      </c>
      <c r="S13" s="220">
        <f>IF($B$81=0,0,(SUMIF($N$6:$N$28,$U13,L$6:L$28)+SUMIF($N$91:$N$118,$U13,L$91:L$118))*$I$83*Poor!$B$81/$B$81)</f>
        <v>10357.028571428571</v>
      </c>
      <c r="T13" s="220">
        <f>IF($B$81=0,0,(SUMIF($N$6:$N$28,$U13,M$6:M$28)+SUMIF($N$91:$N$118,$U13,M$91:M$118))*$I$83*Poor!$B$81/$B$81)</f>
        <v>10357.028571428571</v>
      </c>
      <c r="U13" s="221">
        <v>7</v>
      </c>
      <c r="V13" s="56"/>
      <c r="W13" s="110"/>
      <c r="X13" s="118"/>
      <c r="Y13" s="183">
        <f t="shared" si="9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/>
      </c>
      <c r="B14" s="101">
        <f>IF([1]Summ!$H1052="",0,[1]Summ!$H1052)</f>
        <v>0</v>
      </c>
      <c r="C14" s="102">
        <f>IF([1]Summ!$I1052="",0,[1]Summ!$I1052)</f>
        <v>0</v>
      </c>
      <c r="D14" s="24">
        <f t="shared" si="0"/>
        <v>0</v>
      </c>
      <c r="E14" s="75">
        <f>Poor!E14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3">
        <f t="shared" si="6"/>
        <v>0</v>
      </c>
      <c r="N14" s="227"/>
      <c r="O14" s="2"/>
      <c r="P14" s="22"/>
      <c r="Q14" s="126" t="s">
        <v>77</v>
      </c>
      <c r="R14" s="220">
        <f>IF($B$81=0,0,(SUMIF($N$6:$N$28,$U14,K$6:K$28)+SUMIF($N$91:$N$118,$U14,K$91:K$118))*$B$83*$H$84*Poor!$B$81/$B$81)</f>
        <v>0</v>
      </c>
      <c r="S14" s="220">
        <f>IF($B$81=0,0,(SUMIF($N$6:$N$28,$U14,L$6:L$28)+SUMIF($N$91:$N$118,$U14,L$91:L$118))*$I$83*Poor!$B$81/$B$81)</f>
        <v>0</v>
      </c>
      <c r="T14" s="220">
        <f>IF($B$81=0,0,(SUMIF($N$6:$N$28,$U14,M$6:M$28)+SUMIF($N$91:$N$118,$U14,M$91:M$118))*$I$83*Poor!$B$81/$B$81)</f>
        <v>0</v>
      </c>
      <c r="U14" s="221">
        <v>8</v>
      </c>
      <c r="V14" s="56"/>
      <c r="W14" s="110"/>
      <c r="X14" s="118"/>
      <c r="Y14" s="183">
        <f>M14*4</f>
        <v>0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/>
      </c>
      <c r="B15" s="101">
        <f>IF([1]Summ!$H1053="",0,[1]Summ!$H1053)</f>
        <v>0</v>
      </c>
      <c r="C15" s="102">
        <f>IF([1]Summ!$I1053="",0,[1]Summ!$I1053)</f>
        <v>0</v>
      </c>
      <c r="D15" s="24">
        <f t="shared" si="0"/>
        <v>0</v>
      </c>
      <c r="E15" s="75">
        <f>Poor!E15</f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4">
        <f t="shared" si="6"/>
        <v>0</v>
      </c>
      <c r="N15" s="227"/>
      <c r="O15" s="2"/>
      <c r="P15" s="22"/>
      <c r="Q15" s="59" t="s">
        <v>126</v>
      </c>
      <c r="R15" s="220">
        <f>IF($B$81=0,0,(SUMIF($N$6:$N$28,$U15,K$6:K$28)+SUMIF($N$91:$N$118,$U15,K$91:K$118))*$B$83*$H$84*Poor!$B$81/$B$81)</f>
        <v>0</v>
      </c>
      <c r="S15" s="220">
        <f>IF($B$81=0,0,(SUMIF($N$6:$N$28,$U15,L$6:L$28)+SUMIF($N$91:$N$118,$U15,L$91:L$118))*$I$83*Poor!$B$81/$B$81)</f>
        <v>0</v>
      </c>
      <c r="T15" s="220">
        <f>IF($B$81=0,0,(SUMIF($N$6:$N$28,$U15,M$6:M$28)+SUMIF($N$91:$N$118,$U15,M$91:M$118))*$I$83*Poor!$B$81/$B$81)</f>
        <v>0</v>
      </c>
      <c r="U15" s="221">
        <v>9</v>
      </c>
      <c r="V15" s="56"/>
      <c r="W15" s="110"/>
      <c r="X15" s="118"/>
      <c r="Y15" s="183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/>
      </c>
      <c r="B16" s="101">
        <f>IF([1]Summ!$H1054="",0,[1]Summ!$H1054)</f>
        <v>0</v>
      </c>
      <c r="C16" s="102">
        <f>IF([1]Summ!$I1054="",0,[1]Summ!$I1054)</f>
        <v>0</v>
      </c>
      <c r="D16" s="24">
        <f t="shared" si="0"/>
        <v>0</v>
      </c>
      <c r="E16" s="75">
        <f>Poor!E16</f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2">
        <f t="shared" si="6"/>
        <v>0</v>
      </c>
      <c r="N16" s="227"/>
      <c r="O16" s="2"/>
      <c r="P16" s="22"/>
      <c r="Q16" s="126" t="s">
        <v>78</v>
      </c>
      <c r="R16" s="220">
        <f>IF($B$81=0,0,(SUMIF($N$6:$N$28,$U16,K$6:K$28)+SUMIF($N$91:$N$118,$U16,K$91:K$118))*$B$83*$H$84*Poor!$B$81/$B$81)</f>
        <v>0</v>
      </c>
      <c r="S16" s="220">
        <f>IF($B$81=0,0,(SUMIF($N$6:$N$28,$U16,L$6:L$28)+SUMIF($N$91:$N$118,$U16,L$91:L$118))*$I$83*Poor!$B$81/$B$81)</f>
        <v>0</v>
      </c>
      <c r="T16" s="220">
        <f>IF($B$81=0,0,(SUMIF($N$6:$N$28,$U16,M$6:M$28)+SUMIF($N$91:$N$118,$U16,M$91:M$118))*$I$83*Poor!$B$81/$B$81)</f>
        <v>0</v>
      </c>
      <c r="U16" s="221">
        <v>10</v>
      </c>
      <c r="V16" s="56"/>
      <c r="W16" s="110"/>
      <c r="X16" s="118"/>
      <c r="Y16" s="183">
        <f t="shared" si="9"/>
        <v>0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3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/>
      </c>
      <c r="B17" s="101">
        <f>IF([1]Summ!$H1055="",0,[1]Summ!$H1055)</f>
        <v>0</v>
      </c>
      <c r="C17" s="102">
        <f>IF([1]Summ!$I1055="",0,[1]Summ!$I1055)</f>
        <v>0</v>
      </c>
      <c r="D17" s="24">
        <f t="shared" si="0"/>
        <v>0</v>
      </c>
      <c r="E17" s="75">
        <f>Poor!E17</f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3">
        <f t="shared" si="6"/>
        <v>0</v>
      </c>
      <c r="N17" s="227"/>
      <c r="O17" s="2"/>
      <c r="P17" s="22"/>
      <c r="Q17" s="126" t="s">
        <v>125</v>
      </c>
      <c r="R17" s="220">
        <f>IF($B$81=0,0,(SUMIF($N$6:$N$28,$U17,K$6:K$28)+SUMIF($N$91:$N$118,$U17,K$91:K$118))*$B$83*$H$84*Poor!$B$81/$B$81)</f>
        <v>13017.776385018364</v>
      </c>
      <c r="S17" s="220">
        <f>IF($B$81=0,0,(SUMIF($N$6:$N$28,$U17,L$6:L$28)+SUMIF($N$91:$N$118,$U17,L$91:L$118))*$I$83*Poor!$B$81/$B$81)</f>
        <v>0</v>
      </c>
      <c r="T17" s="220">
        <f>IF($B$81=0,0,(SUMIF($N$6:$N$28,$U17,M$6:M$28)+SUMIF($N$91:$N$118,$U17,M$91:M$118))*$I$83*Poor!$B$81/$B$81)</f>
        <v>0</v>
      </c>
      <c r="U17" s="221">
        <v>11</v>
      </c>
      <c r="V17" s="56"/>
      <c r="W17" s="110"/>
      <c r="X17" s="118"/>
      <c r="Y17" s="183">
        <f t="shared" si="9"/>
        <v>0</v>
      </c>
      <c r="Z17" s="156">
        <f>Poor!Z17</f>
        <v>0.29409999999999997</v>
      </c>
      <c r="AA17" s="121">
        <f t="shared" si="16"/>
        <v>0</v>
      </c>
      <c r="AB17" s="156">
        <f>Poor!AB17</f>
        <v>0.17649999999999999</v>
      </c>
      <c r="AC17" s="121">
        <f t="shared" si="7"/>
        <v>0</v>
      </c>
      <c r="AD17" s="156">
        <f>Poor!AD17</f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/>
      </c>
      <c r="B18" s="101">
        <f>IF([1]Summ!$H1056="",0,[1]Summ!$H1056)</f>
        <v>0</v>
      </c>
      <c r="C18" s="102">
        <f>IF([1]Summ!$I1056="",0,[1]Summ!$I1056)</f>
        <v>0</v>
      </c>
      <c r="D18" s="24">
        <f t="shared" ref="D18:D25" si="18">(B18+C18)</f>
        <v>0</v>
      </c>
      <c r="E18" s="75">
        <f>Poor!E18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3">
        <f t="shared" ref="M18:M25" si="23">J18</f>
        <v>0</v>
      </c>
      <c r="N18" s="227"/>
      <c r="O18" s="2"/>
      <c r="P18" s="22"/>
      <c r="Q18" s="59" t="s">
        <v>79</v>
      </c>
      <c r="R18" s="220">
        <f>IF($B$81=0,0,(SUMIF($N$6:$N$28,$U18,K$6:K$28)+SUMIF($N$91:$N$118,$U18,K$91:K$118))*$B$83*$H$84*Poor!$B$81/$B$81)</f>
        <v>2094.7120172507834</v>
      </c>
      <c r="S18" s="220">
        <f>IF($B$81=0,0,(SUMIF($N$6:$N$28,$U18,L$6:L$28)+SUMIF($N$91:$N$118,$U18,L$91:L$118))*$I$83*Poor!$B$81/$B$81)</f>
        <v>2312.1626405482261</v>
      </c>
      <c r="T18" s="220">
        <f>IF($B$81=0,0,(SUMIF($N$6:$N$28,$U18,M$6:M$28)+SUMIF($N$91:$N$118,$U18,M$91:M$118))*$I$83*Poor!$B$81/$B$81)</f>
        <v>2312.1626405482261</v>
      </c>
      <c r="U18" s="221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/>
      </c>
      <c r="B19" s="101">
        <f>IF([1]Summ!$H1057="",0,[1]Summ!$H1057)</f>
        <v>0</v>
      </c>
      <c r="C19" s="102">
        <f>IF([1]Summ!$I1057="",0,[1]Summ!$I1057)</f>
        <v>0</v>
      </c>
      <c r="D19" s="24">
        <f t="shared" si="18"/>
        <v>0</v>
      </c>
      <c r="E19" s="75">
        <f>Poor!E19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3">
        <f t="shared" si="23"/>
        <v>0</v>
      </c>
      <c r="N19" s="227"/>
      <c r="O19" s="2"/>
      <c r="P19" s="22"/>
      <c r="Q19" s="59" t="s">
        <v>80</v>
      </c>
      <c r="R19" s="220">
        <f>IF($B$81=0,0,(SUMIF($N$6:$N$28,$U19,K$6:K$28)+SUMIF($N$91:$N$118,$U19,K$91:K$118))*$B$83*$H$84*Poor!$B$81/$B$81)</f>
        <v>0</v>
      </c>
      <c r="S19" s="220">
        <f>IF($B$81=0,0,(SUMIF($N$6:$N$28,$U19,L$6:L$28)+SUMIF($N$91:$N$118,$U19,L$91:L$118))*$I$83*Poor!$B$81/$B$81)</f>
        <v>0</v>
      </c>
      <c r="T19" s="220">
        <f>IF($B$81=0,0,(SUMIF($N$6:$N$28,$U19,M$6:M$28)+SUMIF($N$91:$N$118,$U19,M$91:M$118))*$I$83*Poor!$B$81/$B$81)</f>
        <v>0</v>
      </c>
      <c r="U19" s="221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/>
      </c>
      <c r="B20" s="101">
        <f>IF([1]Summ!$H1058="",0,[1]Summ!$H1058)</f>
        <v>0</v>
      </c>
      <c r="C20" s="102">
        <f>IF([1]Summ!$I1058="",0,[1]Summ!$I1058)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3">
        <f t="shared" si="23"/>
        <v>0</v>
      </c>
      <c r="N20" s="227"/>
      <c r="O20" s="2"/>
      <c r="P20" s="22"/>
      <c r="Q20" s="59" t="s">
        <v>81</v>
      </c>
      <c r="R20" s="220">
        <f>IF($B$81=0,0,(SUMIF($N$6:$N$28,$U20,K$6:K$28)+SUMIF($N$91:$N$118,$U20,K$91:K$118))*$B$83*$H$84*Poor!$B$81/$B$81)</f>
        <v>0</v>
      </c>
      <c r="S20" s="220">
        <f>IF($B$81=0,0,(SUMIF($N$6:$N$28,$U20,L$6:L$28)+SUMIF($N$91:$N$118,$U20,L$91:L$118))*$I$83*Poor!$B$81/$B$81)</f>
        <v>0</v>
      </c>
      <c r="T20" s="220">
        <f>IF($B$81=0,0,(SUMIF($N$6:$N$28,$U20,M$6:M$28)+SUMIF($N$91:$N$118,$U20,M$91:M$118))*$I$83*Poor!$B$81/$B$81)</f>
        <v>0</v>
      </c>
      <c r="U20" s="221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101">
        <f>IF([1]Summ!$H1059="",0,[1]Summ!$H1059)</f>
        <v>0</v>
      </c>
      <c r="C21" s="102">
        <f>IF([1]Summ!$I1059="",0,[1]Summ!$I1059)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3">
        <f t="shared" si="23"/>
        <v>0</v>
      </c>
      <c r="N21" s="227"/>
      <c r="O21" s="2"/>
      <c r="P21" s="22"/>
      <c r="Q21" s="59" t="s">
        <v>82</v>
      </c>
      <c r="R21" s="220">
        <f>IF($B$81=0,0,(SUMIF($N$6:$N$28,$U21,K$6:K$28)+SUMIF($N$91:$N$118,$U21,K$91:K$118))*$B$83*$H$84*Poor!$B$81/$B$81)</f>
        <v>20500.435251997424</v>
      </c>
      <c r="S21" s="220">
        <f>IF($B$81=0,0,(SUMIF($N$6:$N$28,$U21,L$6:L$28)+SUMIF($N$91:$N$118,$U21,L$91:L$118))*$I$83*Poor!$B$81/$B$81)</f>
        <v>15222.857142857143</v>
      </c>
      <c r="T21" s="220">
        <f>IF($B$81=0,0,(SUMIF($N$6:$N$28,$U21,M$6:M$28)+SUMIF($N$91:$N$118,$U21,M$91:M$118))*$I$83*Poor!$B$81/$B$81)</f>
        <v>15222.857142857143</v>
      </c>
      <c r="U21" s="221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101">
        <f>IF([1]Summ!$H1060="",0,[1]Summ!$H1060)</f>
        <v>0</v>
      </c>
      <c r="C22" s="102">
        <f>IF([1]Summ!$I1060="",0,[1]Summ!$I1060)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3">
        <f t="shared" si="23"/>
        <v>0</v>
      </c>
      <c r="N22" s="227"/>
      <c r="O22" s="2"/>
      <c r="P22" s="22"/>
      <c r="Q22" s="59" t="s">
        <v>83</v>
      </c>
      <c r="R22" s="220">
        <f>IF($B$81=0,0,(SUMIF($N$6:$N$28,$U22,K$6:K$28)+SUMIF($N$91:$N$118,$U22,K$91:K$118))*$B$83*$H$84*Poor!$B$81/$B$81)</f>
        <v>0</v>
      </c>
      <c r="S22" s="220">
        <f>IF($B$81=0,0,(SUMIF($N$6:$N$28,$U22,L$6:L$28)+SUMIF($N$91:$N$118,$U22,L$91:L$118))*$I$83*Poor!$B$81/$B$81)</f>
        <v>0</v>
      </c>
      <c r="T22" s="220">
        <f>IF($B$81=0,0,(SUMIF($N$6:$N$28,$U22,M$6:M$28)+SUMIF($N$91:$N$118,$U22,M$91:M$118))*$I$83*Poor!$B$81/$B$81)</f>
        <v>0</v>
      </c>
      <c r="U22" s="221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101">
        <f>IF([1]Summ!$H1061="",0,[1]Summ!$H1061)</f>
        <v>0</v>
      </c>
      <c r="C23" s="102">
        <f>IF([1]Summ!$I1061="",0,[1]Summ!$I1061)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3">
        <f t="shared" si="23"/>
        <v>0</v>
      </c>
      <c r="N23" s="227"/>
      <c r="O23" s="2"/>
      <c r="P23" s="22"/>
      <c r="Q23" s="171" t="s">
        <v>100</v>
      </c>
      <c r="R23" s="179">
        <f>SUM(R7:R22)</f>
        <v>154994.76310394032</v>
      </c>
      <c r="S23" s="179">
        <f>SUM(S7:S22)</f>
        <v>54530.861451792851</v>
      </c>
      <c r="T23" s="179">
        <f>SUM(T7:T22)</f>
        <v>61238.276422542811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101">
        <f>IF([1]Summ!$H1062="",0,[1]Summ!$H1062)</f>
        <v>0</v>
      </c>
      <c r="C24" s="102">
        <f>IF([1]Summ!$I1062="",0,[1]Summ!$I1062)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3">
        <f t="shared" si="23"/>
        <v>0</v>
      </c>
      <c r="N24" s="227"/>
      <c r="O24" s="2"/>
      <c r="P24" s="22"/>
      <c r="Q24" s="59" t="s">
        <v>137</v>
      </c>
      <c r="R24" s="41">
        <f>IF($B$81=0,0,(SUM(($B$70*$H$70))+((1-$D$29)*$I$83))*Poor!$B$81/$B$81)</f>
        <v>35969.406972062054</v>
      </c>
      <c r="S24" s="41">
        <f>IF($B$81=0,0,(SUM(($B$70*$H$70))+((1-$D$29)*$I$83))*Poor!$B$81/$B$81)</f>
        <v>35969.406972062054</v>
      </c>
      <c r="T24" s="41">
        <f>IF($B$81=0,0,(SUM(($B$70*$H$70))+((1-$D$29)*$I$83))*Poor!$B$81/$B$81)</f>
        <v>35969.406972062054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101">
        <f>IF([1]Summ!$H1063="",0,[1]Summ!$H1063)</f>
        <v>0</v>
      </c>
      <c r="C25" s="102">
        <f>IF([1]Summ!$I1063="",0,[1]Summ!$I1063)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3">
        <f t="shared" si="23"/>
        <v>0</v>
      </c>
      <c r="N25" s="227"/>
      <c r="O25" s="2"/>
      <c r="P25" s="22"/>
      <c r="Q25" s="142" t="s">
        <v>138</v>
      </c>
      <c r="R25" s="41">
        <f>IF($B$81=0,0,(SUM(($B$70*$H$70),($B$71*$H$71))+((1-$D$29)*$I$83))*Poor!$B$81/$B$81)</f>
        <v>54352.233638728721</v>
      </c>
      <c r="S25" s="41">
        <f>IF($B$81=0,0,(SUM(($B$70*$H$70),($B$71*$H$71))+((1-$D$29)*$I$83))*Poor!$B$81/$B$81)</f>
        <v>54352.233638728721</v>
      </c>
      <c r="T25" s="41">
        <f>IF($B$81=0,0,(SUM(($B$70*$H$70),($B$71*$H$71))+((1-$D$29)*$I$83))*Poor!$B$81/$B$81)</f>
        <v>54352.233638728721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101">
        <f>IF([1]Summ!$H1064="",0,[1]Summ!$H1064)</f>
        <v>0.11904761904761904</v>
      </c>
      <c r="C26" s="102">
        <f>IF([1]Summ!$I1064="",0,[1]Summ!$I1064)</f>
        <v>0</v>
      </c>
      <c r="D26" s="24">
        <f t="shared" si="0"/>
        <v>0.11904761904761904</v>
      </c>
      <c r="E26" s="75">
        <f>Poor!E26</f>
        <v>1</v>
      </c>
      <c r="F26" s="22"/>
      <c r="H26" s="24">
        <f t="shared" si="1"/>
        <v>1</v>
      </c>
      <c r="I26" s="22">
        <f t="shared" si="2"/>
        <v>0.11904761904761904</v>
      </c>
      <c r="J26" s="24">
        <f>IF(I$32&lt;=1+I131,I26,B26*H26+J$33*(I26-B26*H26))</f>
        <v>0.11904761904761904</v>
      </c>
      <c r="K26" s="22">
        <f t="shared" si="4"/>
        <v>0.11904761904761904</v>
      </c>
      <c r="L26" s="22">
        <f t="shared" si="5"/>
        <v>0.11904761904761904</v>
      </c>
      <c r="M26" s="222">
        <f t="shared" si="6"/>
        <v>0.11904761904761904</v>
      </c>
      <c r="N26" s="227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87090.153638728734</v>
      </c>
      <c r="S26" s="41">
        <f>IF($B$81=0,0,(SUM(($B$70*$H$70),($B$71*$H$71),($B$72*$H$72))+((1-$D$29)*$I$83))*Poor!$B$81/$B$81)</f>
        <v>87090.153638728734</v>
      </c>
      <c r="T26" s="41">
        <f>IF($B$81=0,0,(SUM(($B$70*$H$70),($B$71*$H$71),($B$72*$H$72))+((1-$D$29)*$I$83))*Poor!$B$81/$B$81)</f>
        <v>87090.153638728734</v>
      </c>
      <c r="U26" s="56"/>
      <c r="V26" s="56"/>
      <c r="W26" s="110"/>
      <c r="X26" s="118"/>
      <c r="Y26" s="183">
        <f t="shared" si="9"/>
        <v>0.47619047619047616</v>
      </c>
      <c r="Z26" s="156">
        <f>Poor!Z26</f>
        <v>0.25</v>
      </c>
      <c r="AA26" s="121">
        <f t="shared" si="16"/>
        <v>0.11904761904761904</v>
      </c>
      <c r="AB26" s="156">
        <f>Poor!AB26</f>
        <v>0.25</v>
      </c>
      <c r="AC26" s="121">
        <f t="shared" si="7"/>
        <v>0.11904761904761904</v>
      </c>
      <c r="AD26" s="156">
        <f>Poor!AD26</f>
        <v>0.25</v>
      </c>
      <c r="AE26" s="121">
        <f t="shared" si="8"/>
        <v>0.11904761904761904</v>
      </c>
      <c r="AF26" s="122">
        <f t="shared" si="10"/>
        <v>0.25</v>
      </c>
      <c r="AG26" s="121">
        <f t="shared" si="11"/>
        <v>0.11904761904761904</v>
      </c>
      <c r="AH26" s="123">
        <f t="shared" si="12"/>
        <v>1</v>
      </c>
      <c r="AI26" s="183">
        <f t="shared" si="13"/>
        <v>0.11904761904761904</v>
      </c>
      <c r="AJ26" s="120">
        <f t="shared" si="14"/>
        <v>0.11904761904761904</v>
      </c>
      <c r="AK26" s="119">
        <f t="shared" si="15"/>
        <v>0.11904761904761904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101">
        <f>IF([1]Summ!$H1065="",0,[1]Summ!$H1065)</f>
        <v>1.5150242305639565E-2</v>
      </c>
      <c r="C27" s="102">
        <f>IF([1]Summ!$I1065="",0,[1]Summ!$I1065)</f>
        <v>-1.5150242305639565E-2</v>
      </c>
      <c r="D27" s="24">
        <f>(B27+C27)</f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-2.0766187234804011E-3</v>
      </c>
      <c r="K27" s="22">
        <f t="shared" si="4"/>
        <v>1.5150242305639565E-2</v>
      </c>
      <c r="L27" s="22">
        <f t="shared" si="5"/>
        <v>1.5150242305639565E-2</v>
      </c>
      <c r="M27" s="224">
        <f t="shared" si="6"/>
        <v>-2.0766187234804011E-3</v>
      </c>
      <c r="N27" s="227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-8.3064748939216046E-3</v>
      </c>
      <c r="Z27" s="156">
        <f>Poor!Z27</f>
        <v>0.25</v>
      </c>
      <c r="AA27" s="121">
        <f t="shared" si="16"/>
        <v>-2.0766187234804011E-3</v>
      </c>
      <c r="AB27" s="156">
        <f>Poor!AB27</f>
        <v>0.25</v>
      </c>
      <c r="AC27" s="121">
        <f t="shared" si="7"/>
        <v>-2.0766187234804011E-3</v>
      </c>
      <c r="AD27" s="156">
        <f>Poor!AD27</f>
        <v>0.25</v>
      </c>
      <c r="AE27" s="121">
        <f t="shared" si="8"/>
        <v>-2.0766187234804011E-3</v>
      </c>
      <c r="AF27" s="122">
        <f t="shared" si="10"/>
        <v>0.25</v>
      </c>
      <c r="AG27" s="121">
        <f t="shared" si="11"/>
        <v>-2.0766187234804011E-3</v>
      </c>
      <c r="AH27" s="123">
        <f t="shared" si="12"/>
        <v>1</v>
      </c>
      <c r="AI27" s="183">
        <f t="shared" si="13"/>
        <v>-2.0766187234804011E-3</v>
      </c>
      <c r="AJ27" s="120">
        <f t="shared" si="14"/>
        <v>-2.0766187234804011E-3</v>
      </c>
      <c r="AK27" s="119">
        <f t="shared" si="15"/>
        <v>-2.0766187234804011E-3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101">
        <f>IF([1]Summ!$H1066="",0,[1]Summ!$H1066)</f>
        <v>0</v>
      </c>
      <c r="C28" s="102">
        <f>IF([1]Summ!$I1066="",0,[1]Summ!$I1066)</f>
        <v>0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2">
        <f t="shared" si="6"/>
        <v>0</v>
      </c>
      <c r="N28" s="227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101">
        <f>IF([1]Summ!$H1067="",0,[1]Summ!$H1067)</f>
        <v>0.27755333285892192</v>
      </c>
      <c r="C29" s="102">
        <f>IF([1]Summ!$I1067="",0,[1]Summ!$I1067)</f>
        <v>-5.291655891692483E-2</v>
      </c>
      <c r="D29" s="24">
        <f t="shared" si="0"/>
        <v>0.2246367739419971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0.2246367739419971</v>
      </c>
      <c r="J29" s="24">
        <f>IF(I$32&lt;=1+I131,I29,B29*H29+J$33*(I29-B29*H29))</f>
        <v>0.21738358849372641</v>
      </c>
      <c r="K29" s="22">
        <f t="shared" si="4"/>
        <v>0.27755333285892192</v>
      </c>
      <c r="L29" s="22">
        <f t="shared" si="5"/>
        <v>0.27755333285892192</v>
      </c>
      <c r="M29" s="222">
        <f t="shared" si="6"/>
        <v>0.21738358849372641</v>
      </c>
      <c r="N29" s="227"/>
      <c r="P29" s="22"/>
      <c r="V29" s="56"/>
      <c r="W29" s="110"/>
      <c r="X29" s="118"/>
      <c r="Y29" s="183">
        <f t="shared" si="9"/>
        <v>0.86953435397490564</v>
      </c>
      <c r="Z29" s="156">
        <f>Poor!Z29</f>
        <v>0.25</v>
      </c>
      <c r="AA29" s="121">
        <f t="shared" si="16"/>
        <v>0.21738358849372641</v>
      </c>
      <c r="AB29" s="156">
        <f>Poor!AB29</f>
        <v>0.25</v>
      </c>
      <c r="AC29" s="121">
        <f t="shared" si="7"/>
        <v>0.21738358849372641</v>
      </c>
      <c r="AD29" s="156">
        <f>Poor!AD29</f>
        <v>0.25</v>
      </c>
      <c r="AE29" s="121">
        <f t="shared" si="8"/>
        <v>0.21738358849372641</v>
      </c>
      <c r="AF29" s="122">
        <f t="shared" si="10"/>
        <v>0.25</v>
      </c>
      <c r="AG29" s="121">
        <f t="shared" si="11"/>
        <v>0.21738358849372641</v>
      </c>
      <c r="AH29" s="123">
        <f t="shared" si="12"/>
        <v>1</v>
      </c>
      <c r="AI29" s="183">
        <f t="shared" si="13"/>
        <v>0.21738358849372641</v>
      </c>
      <c r="AJ29" s="120">
        <f t="shared" si="14"/>
        <v>0.21738358849372641</v>
      </c>
      <c r="AK29" s="119">
        <f t="shared" si="15"/>
        <v>0.21738358849372641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IF([1]Summ!$H1068="",0,[1]Summ!$H1068)</f>
        <v>0.54316672549368428</v>
      </c>
      <c r="C30" s="103"/>
      <c r="D30" s="24">
        <f>(D119-B124)</f>
        <v>6.9809416977214021</v>
      </c>
      <c r="E30" s="75">
        <f>Poor!E30</f>
        <v>1</v>
      </c>
      <c r="H30" s="96">
        <f>(E30*F$7/F$9)</f>
        <v>1</v>
      </c>
      <c r="I30" s="29">
        <f>IF(E30&gt;=1,I119-I124,MIN(I119-I124,B30*H30))</f>
        <v>1.5731067511404102</v>
      </c>
      <c r="J30" s="229">
        <f>IF(I$32&lt;=1,I30,1-SUM(J6:J29))</f>
        <v>0.28666276190033435</v>
      </c>
      <c r="K30" s="22">
        <f t="shared" si="4"/>
        <v>0.54316672549368428</v>
      </c>
      <c r="L30" s="22">
        <f>IF(L124=L119,0,IF(K30="",0,(L119-L124)/(B119-B124)*K30))</f>
        <v>0.11793749075393085</v>
      </c>
      <c r="M30" s="175">
        <f t="shared" si="6"/>
        <v>0.28666276190033435</v>
      </c>
      <c r="N30" s="166" t="s">
        <v>86</v>
      </c>
      <c r="O30" s="2"/>
      <c r="P30" s="22"/>
      <c r="Q30" s="232" t="s">
        <v>141</v>
      </c>
      <c r="R30" s="232">
        <f t="shared" ref="R30:T32" si="24">IF(R24&gt;R$23,R24-R$23,0)</f>
        <v>0</v>
      </c>
      <c r="S30" s="232">
        <f t="shared" si="24"/>
        <v>0</v>
      </c>
      <c r="T30" s="232">
        <f t="shared" si="24"/>
        <v>0</v>
      </c>
      <c r="V30" s="56"/>
      <c r="W30" s="110"/>
      <c r="X30" s="118"/>
      <c r="Y30" s="183">
        <f>M30*4</f>
        <v>1.1466510476013374</v>
      </c>
      <c r="Z30" s="122">
        <f>IF($Y30=0,0,AA30/($Y$30))</f>
        <v>9.682309425763103E-17</v>
      </c>
      <c r="AA30" s="187">
        <f>IF(AA79*4/$I$84+SUM(AA6:AA29)&lt;1,AA79*4/$I$84,1-SUM(AA6:AA29))</f>
        <v>1.1102230246251565E-16</v>
      </c>
      <c r="AB30" s="122">
        <f>IF($Y30=0,0,AC30/($Y$30))</f>
        <v>9.682309425763103E-17</v>
      </c>
      <c r="AC30" s="187">
        <f>IF(AC79*4/$I$84+SUM(AC6:AC29)&lt;1,AC79*4/$I$84,1-SUM(AC6:AC29))</f>
        <v>1.1102230246251565E-16</v>
      </c>
      <c r="AD30" s="122">
        <f>IF($Y30=0,0,AE30/($Y$30))</f>
        <v>0.48005276999557051</v>
      </c>
      <c r="AE30" s="187">
        <f>IF(AE79*4/$I$84+SUM(AE6:AE29)&lt;1,AE79*4/$I$84,1-SUM(AE6:AE29))</f>
        <v>0.55045301161934479</v>
      </c>
      <c r="AF30" s="122">
        <f>IF($Y30=0,0,AG30/($Y$30))</f>
        <v>0.51994723000442955</v>
      </c>
      <c r="AG30" s="187">
        <f>IF(AG79*4/$I$84+SUM(AG6:AG29)&lt;1,AG79*4/$I$84,1-SUM(AG6:AG29))</f>
        <v>0.59619803598199261</v>
      </c>
      <c r="AH30" s="123">
        <f t="shared" si="12"/>
        <v>1.0000000000000002</v>
      </c>
      <c r="AI30" s="183">
        <f t="shared" si="13"/>
        <v>0.28666276190033441</v>
      </c>
      <c r="AJ30" s="120">
        <f t="shared" si="14"/>
        <v>1.1102230246251565E-16</v>
      </c>
      <c r="AK30" s="119">
        <f t="shared" si="15"/>
        <v>0.5733255238006687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1" t="str">
        <f>IF(1-$B$32&gt;0,1-$B$32,"")</f>
        <v/>
      </c>
      <c r="C31" s="77"/>
      <c r="D31" s="24"/>
      <c r="E31" s="22"/>
      <c r="F31" s="22"/>
      <c r="H31" s="24"/>
      <c r="I31" s="22"/>
      <c r="J31" s="230">
        <f>(1-SUM(J6:J30))</f>
        <v>0</v>
      </c>
      <c r="K31" s="22" t="str">
        <f t="shared" si="4"/>
        <v/>
      </c>
      <c r="L31" s="22">
        <f>(1-SUM(L6:L30))</f>
        <v>0.39305281725769214</v>
      </c>
      <c r="M31" s="178">
        <f t="shared" si="6"/>
        <v>0</v>
      </c>
      <c r="N31" s="167">
        <f>M31*I83</f>
        <v>0</v>
      </c>
      <c r="P31" s="22"/>
      <c r="Q31" s="236" t="s">
        <v>142</v>
      </c>
      <c r="R31" s="232">
        <f t="shared" si="24"/>
        <v>0</v>
      </c>
      <c r="S31" s="232">
        <f t="shared" si="24"/>
        <v>0</v>
      </c>
      <c r="T31" s="232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1.3074128547707997</v>
      </c>
      <c r="C32" s="77">
        <f>SUM(C6:C31)</f>
        <v>0.92072113686674351</v>
      </c>
      <c r="D32" s="24">
        <f>SUM(D6:D30)</f>
        <v>8.6659089638652613</v>
      </c>
      <c r="E32" s="2"/>
      <c r="F32" s="2"/>
      <c r="H32" s="17"/>
      <c r="I32" s="22">
        <f>SUM(I6:I30)</f>
        <v>2.2594023371561782</v>
      </c>
      <c r="J32" s="17"/>
      <c r="L32" s="22">
        <f>SUM(L6:L30)</f>
        <v>0.60694718274230786</v>
      </c>
      <c r="M32" s="23"/>
      <c r="N32" s="56"/>
      <c r="O32" s="2"/>
      <c r="P32" s="22"/>
      <c r="Q32" s="232" t="s">
        <v>143</v>
      </c>
      <c r="R32" s="232">
        <f t="shared" si="24"/>
        <v>0</v>
      </c>
      <c r="S32" s="232">
        <f t="shared" si="24"/>
        <v>32559.292186935883</v>
      </c>
      <c r="T32" s="232">
        <f t="shared" si="24"/>
        <v>25851.877216185923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1.1370683505640959</v>
      </c>
      <c r="K33" s="14"/>
      <c r="L33" s="11"/>
      <c r="M33" s="30"/>
      <c r="N33" s="168" t="s">
        <v>87</v>
      </c>
      <c r="O33" s="2"/>
      <c r="P33" s="2"/>
      <c r="Q33" s="236"/>
      <c r="R33" s="232"/>
      <c r="S33" s="232"/>
      <c r="T33" s="232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47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0"/>
      <c r="S36" s="240"/>
      <c r="T36" s="249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74" t="str">
        <f>IF(Poor!A37=0,"",Poor!A37)</f>
        <v>Cattle sales - local: no. sold</v>
      </c>
      <c r="B37" s="104">
        <f>IF([1]Summ!$H1072="",0,[1]Summ!$H1072)</f>
        <v>16000</v>
      </c>
      <c r="C37" s="104">
        <f>IF([1]Summ!$I1072="",0,[1]Summ!$I1072)</f>
        <v>0</v>
      </c>
      <c r="D37" s="38">
        <f t="shared" ref="D37:D64" si="25">B37+C37</f>
        <v>16000</v>
      </c>
      <c r="E37" s="75">
        <f>Poor!E37</f>
        <v>0.5</v>
      </c>
      <c r="F37" s="75">
        <f>Poor!F37</f>
        <v>1.18</v>
      </c>
      <c r="G37" s="75">
        <f>Poor!G37</f>
        <v>1.65</v>
      </c>
      <c r="H37" s="24">
        <f t="shared" ref="H37" si="26">(E37*F37)</f>
        <v>0.59</v>
      </c>
      <c r="I37" s="39">
        <f t="shared" ref="I37" si="27">D37*H37</f>
        <v>9440</v>
      </c>
      <c r="J37" s="38">
        <f>J91*I$83</f>
        <v>9440</v>
      </c>
      <c r="K37" s="40">
        <f>(B37/B$65)</f>
        <v>0.186328170490276</v>
      </c>
      <c r="L37" s="22">
        <f t="shared" ref="L37" si="28">(K37*H37)</f>
        <v>0.10993362058926283</v>
      </c>
      <c r="M37" s="24">
        <f>J37/B$65</f>
        <v>0.10993362058926284</v>
      </c>
      <c r="N37" s="227">
        <v>5</v>
      </c>
      <c r="O37" s="2"/>
      <c r="P37" s="2"/>
      <c r="Q37" s="59" t="s">
        <v>71</v>
      </c>
      <c r="R37" s="220">
        <f>IF($B$81=0,0,(SUMIF($N$6:$N$28,$U7,K$6:K$28)*$B$83+SUMIF($N$37:$N$64,$U7,B$37:B$64))*[2]Poor!$B$81/$B$81)</f>
        <v>2492.8571902326798</v>
      </c>
      <c r="S37" s="220">
        <f>IF($B$81=0,0,(SUMIF($N$6:$N$28,$U37,L$6:L$28)+SUMIF($N$91:$N$118,$U37,L$91:L$118))*$I$83*[2]Poor!$B$81/$B$81)</f>
        <v>0</v>
      </c>
      <c r="T37" s="220">
        <f>IF($B$81=0,0,(SUMIF($N$6:$N$28,$U7,M$6:M$28)+SUMIF($N$91:$N$118,$U7,M$91:M$118))*$I$83*[2]Poor!$B$81/$B$81)</f>
        <v>6814.0638253633415</v>
      </c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4.805601983819837E-2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453.6488272725926</v>
      </c>
      <c r="AF37" s="122">
        <f t="shared" ref="AF37:AF64" si="29">1-SUM(Z37,AB37,AD37)</f>
        <v>0.9519439801618016</v>
      </c>
      <c r="AG37" s="147">
        <f>$J37*AF37</f>
        <v>8986.3511727274072</v>
      </c>
      <c r="AH37" s="123">
        <f>SUM(Z37,AB37,AD37,AF37)</f>
        <v>1</v>
      </c>
      <c r="AI37" s="112">
        <f>SUM(AA37,AC37,AE37,AG37)</f>
        <v>9440</v>
      </c>
      <c r="AJ37" s="148">
        <f>(AA37+AC37)</f>
        <v>0</v>
      </c>
      <c r="AK37" s="147">
        <f>(AE37+AG37)</f>
        <v>9440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74" t="str">
        <f>IF(Poor!A38=0,"",Poor!A38)</f>
        <v>Goat sales - local: no. sold</v>
      </c>
      <c r="B38" s="104">
        <f>IF([1]Summ!$H1073="",0,[1]Summ!$H1073)</f>
        <v>6000</v>
      </c>
      <c r="C38" s="104">
        <f>IF([1]Summ!$I1073="",0,[1]Summ!$I1073)</f>
        <v>4000</v>
      </c>
      <c r="D38" s="38">
        <f t="shared" si="25"/>
        <v>10000</v>
      </c>
      <c r="E38" s="75">
        <f>Poor!E38</f>
        <v>0.5</v>
      </c>
      <c r="F38" s="75">
        <f>Poor!F38</f>
        <v>1.18</v>
      </c>
      <c r="G38" s="75">
        <f>Poor!G38</f>
        <v>1.65</v>
      </c>
      <c r="H38" s="24">
        <f t="shared" ref="H38:H64" si="30">(E38*F38)</f>
        <v>0.59</v>
      </c>
      <c r="I38" s="39">
        <f t="shared" ref="I38:I64" si="31">D38*H38</f>
        <v>5900</v>
      </c>
      <c r="J38" s="38">
        <f t="shared" ref="J38:J64" si="32">J92*I$83</f>
        <v>6223.4813073312662</v>
      </c>
      <c r="K38" s="40">
        <f t="shared" ref="K38:K64" si="33">(B38/B$65)</f>
        <v>6.9873063933853494E-2</v>
      </c>
      <c r="L38" s="22">
        <f t="shared" ref="L38:L64" si="34">(K38*H38)</f>
        <v>4.1225107720973563E-2</v>
      </c>
      <c r="M38" s="24">
        <f t="shared" ref="M38:M64" si="35">J38/B$65</f>
        <v>7.2475617879716625E-2</v>
      </c>
      <c r="N38" s="227">
        <v>5</v>
      </c>
      <c r="O38" s="2"/>
      <c r="P38" s="2"/>
      <c r="Q38" s="59" t="s">
        <v>72</v>
      </c>
      <c r="R38" s="220">
        <f>IF($B$81=0,0,(SUMIF($N$6:$N$28,$U8,K$6:K$28)*$B$83+SUMIF($N$37:$N$64,$U8,B$37:B$64))*[2]Poor!$B$81/$B$81)</f>
        <v>25314.285714285714</v>
      </c>
      <c r="S38" s="220">
        <f>IF($B$81=0,0,(SUMIF($N$6:$N$28,$U38,L$6:L$28)+SUMIF($N$91:$N$118,$U38,L$91:L$118))*$I$83*[2]Poor!$B$81/$B$81)</f>
        <v>0</v>
      </c>
      <c r="T38" s="220">
        <f>IF($B$81=0,0,(SUMIF($N$6:$N$28,$U8,M$6:M$28)+SUMIF($N$91:$N$118,$U8,M$91:M$118))*$I$83*[2]Poor!$B$81/$B$81)</f>
        <v>5252.4425796988826</v>
      </c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4.805601983819837E-2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299.07574116776806</v>
      </c>
      <c r="AF38" s="122">
        <f t="shared" si="29"/>
        <v>0.9519439801618016</v>
      </c>
      <c r="AG38" s="147">
        <f t="shared" ref="AG38:AG64" si="36">$J38*AF38</f>
        <v>5924.4055661634975</v>
      </c>
      <c r="AH38" s="123">
        <f t="shared" ref="AH38:AI58" si="37">SUM(Z38,AB38,AD38,AF38)</f>
        <v>1</v>
      </c>
      <c r="AI38" s="112">
        <f t="shared" si="37"/>
        <v>6223.4813073312653</v>
      </c>
      <c r="AJ38" s="148">
        <f t="shared" ref="AJ38:AJ64" si="38">(AA38+AC38)</f>
        <v>0</v>
      </c>
      <c r="AK38" s="147">
        <f t="shared" ref="AK38:AK64" si="39">(AE38+AG38)</f>
        <v>6223.4813073312653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74" t="str">
        <f>IF(Poor!A39=0,"",Poor!A39)</f>
        <v>Sheep sales - local: no. sold</v>
      </c>
      <c r="B39" s="104">
        <f>IF([1]Summ!$H1074="",0,[1]Summ!$H1074)</f>
        <v>1600</v>
      </c>
      <c r="C39" s="104">
        <f>IF([1]Summ!$I1074="",0,[1]Summ!$I1074)</f>
        <v>0</v>
      </c>
      <c r="D39" s="38">
        <f t="shared" si="25"/>
        <v>1600</v>
      </c>
      <c r="E39" s="75">
        <f>Poor!E39</f>
        <v>0.5</v>
      </c>
      <c r="F39" s="75">
        <f>Poor!F39</f>
        <v>1.18</v>
      </c>
      <c r="G39" s="75">
        <f>Poor!G39</f>
        <v>1.65</v>
      </c>
      <c r="H39" s="24">
        <f t="shared" si="30"/>
        <v>0.59</v>
      </c>
      <c r="I39" s="39">
        <f t="shared" si="31"/>
        <v>944</v>
      </c>
      <c r="J39" s="38">
        <f t="shared" si="32"/>
        <v>944.00000000000011</v>
      </c>
      <c r="K39" s="40">
        <f t="shared" si="33"/>
        <v>1.8632817049027601E-2</v>
      </c>
      <c r="L39" s="22">
        <f t="shared" si="34"/>
        <v>1.0993362058926284E-2</v>
      </c>
      <c r="M39" s="24">
        <f t="shared" si="35"/>
        <v>1.0993362058926285E-2</v>
      </c>
      <c r="N39" s="227">
        <v>5</v>
      </c>
      <c r="O39" s="2"/>
      <c r="P39" s="2"/>
      <c r="Q39" s="59" t="s">
        <v>73</v>
      </c>
      <c r="R39" s="220">
        <f>IF($B$81=0,0,(SUMIF($N$6:$N$28,$U9,K$6:K$28)*$B$83+SUMIF($N$37:$N$64,$U9,B$37:B$64))*[2]Poor!$B$81/$B$81)</f>
        <v>1656.3641471326373</v>
      </c>
      <c r="S39" s="220">
        <f>IF($B$81=0,0,(SUMIF($N$6:$N$28,$U39,L$6:L$28)+SUMIF($N$91:$N$118,$U39,L$91:L$118))*$I$83*[2]Poor!$B$81/$B$81)</f>
        <v>0</v>
      </c>
      <c r="T39" s="220">
        <f>IF($B$81=0,0,(SUMIF($N$6:$N$28,$U9,M$6:M$28)+SUMIF($N$91:$N$118,$U9,M$91:M$118))*$I$83*[2]Poor!$B$81/$B$81)</f>
        <v>546.60016855377023</v>
      </c>
      <c r="U39" s="56"/>
      <c r="V39" s="56"/>
      <c r="W39" s="115"/>
      <c r="X39" s="194">
        <f>X8</f>
        <v>1</v>
      </c>
      <c r="Y39" s="110"/>
      <c r="Z39" s="122">
        <f>Z8</f>
        <v>0.46652611640413527</v>
      </c>
      <c r="AA39" s="147">
        <f t="shared" ref="AA39:AA64" si="40">$J39*Z39</f>
        <v>440.40065388550374</v>
      </c>
      <c r="AB39" s="122">
        <f>AB8</f>
        <v>0.46652611640413527</v>
      </c>
      <c r="AC39" s="147">
        <f t="shared" ref="AC39:AC64" si="41">$J39*AB39</f>
        <v>440.40065388550374</v>
      </c>
      <c r="AD39" s="122">
        <f>AD8</f>
        <v>6.6947767191729513E-2</v>
      </c>
      <c r="AE39" s="147">
        <f t="shared" ref="AE39:AE64" si="42">$J39*AD39</f>
        <v>63.19869222899267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944.00000000000011</v>
      </c>
      <c r="AJ39" s="148">
        <f t="shared" si="38"/>
        <v>880.80130777100749</v>
      </c>
      <c r="AK39" s="147">
        <f t="shared" si="39"/>
        <v>63.19869222899267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74" t="str">
        <f>IF(Poor!A40=0,"",Poor!A40)</f>
        <v>Chicken sales: no. sold</v>
      </c>
      <c r="B40" s="104">
        <f>IF([1]Summ!$H1075="",0,[1]Summ!$H1075)</f>
        <v>1300</v>
      </c>
      <c r="C40" s="104">
        <f>IF([1]Summ!$I1075="",0,[1]Summ!$I1075)</f>
        <v>0</v>
      </c>
      <c r="D40" s="38">
        <f t="shared" si="25"/>
        <v>1300</v>
      </c>
      <c r="E40" s="75">
        <f>Poor!E40</f>
        <v>1</v>
      </c>
      <c r="F40" s="75">
        <f>Poor!F40</f>
        <v>1.18</v>
      </c>
      <c r="G40" s="75">
        <f>Poor!G40</f>
        <v>1.65</v>
      </c>
      <c r="H40" s="24">
        <f t="shared" si="30"/>
        <v>1.18</v>
      </c>
      <c r="I40" s="39">
        <f t="shared" si="31"/>
        <v>1534</v>
      </c>
      <c r="J40" s="38">
        <f t="shared" si="32"/>
        <v>1534.0000000000002</v>
      </c>
      <c r="K40" s="40">
        <f t="shared" si="33"/>
        <v>1.5139163852334925E-2</v>
      </c>
      <c r="L40" s="22">
        <f t="shared" si="34"/>
        <v>1.7864213345755209E-2</v>
      </c>
      <c r="M40" s="24">
        <f t="shared" si="35"/>
        <v>1.7864213345755213E-2</v>
      </c>
      <c r="N40" s="227">
        <v>5</v>
      </c>
      <c r="O40" s="2"/>
      <c r="P40" s="2"/>
      <c r="Q40" s="59" t="s">
        <v>74</v>
      </c>
      <c r="R40" s="220">
        <f>IF($B$81=0,0,(SUMIF($N$6:$N$28,$U10,K$6:K$28)*$B$83+SUMIF($N$37:$N$64,$U10,B$37:B$64))*[2]Poor!$B$81/$B$81)</f>
        <v>0</v>
      </c>
      <c r="S40" s="220">
        <f>IF($B$81=0,0,(SUMIF($N$6:$N$28,$U40,L$6:L$28)+SUMIF($N$91:$N$118,$U40,L$91:L$118))*$I$83*[2]Poor!$B$81/$B$81)</f>
        <v>0</v>
      </c>
      <c r="T40" s="220">
        <f>IF($B$81=0,0,(SUMIF($N$6:$N$28,$U10,M$6:M$28)+SUMIF($N$91:$N$118,$U10,M$91:M$118))*$I$83*[2]Poor!$B$81/$B$81)</f>
        <v>0</v>
      </c>
      <c r="U40" s="56"/>
      <c r="V40" s="56"/>
      <c r="W40" s="115"/>
      <c r="X40" s="194">
        <f>X9</f>
        <v>1</v>
      </c>
      <c r="Y40" s="110"/>
      <c r="Z40" s="122">
        <f>Z9</f>
        <v>0.46652611640413527</v>
      </c>
      <c r="AA40" s="147">
        <f t="shared" si="40"/>
        <v>715.65106256394358</v>
      </c>
      <c r="AB40" s="122">
        <f>AB9</f>
        <v>0.46652611640413527</v>
      </c>
      <c r="AC40" s="147">
        <f t="shared" si="41"/>
        <v>715.65106256394358</v>
      </c>
      <c r="AD40" s="122">
        <f>AD9</f>
        <v>6.6947767191729485E-2</v>
      </c>
      <c r="AE40" s="147">
        <f t="shared" si="42"/>
        <v>102.69787487211305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1534.0000000000002</v>
      </c>
      <c r="AJ40" s="148">
        <f t="shared" si="38"/>
        <v>1431.3021251278872</v>
      </c>
      <c r="AK40" s="147">
        <f t="shared" si="39"/>
        <v>102.69787487211305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74" t="str">
        <f>IF(Poor!A41=0,"",Poor!A41)</f>
        <v>Maize: kg produced</v>
      </c>
      <c r="B41" s="104">
        <f>IF([1]Summ!$H1076="",0,[1]Summ!$H1076)</f>
        <v>2400</v>
      </c>
      <c r="C41" s="104">
        <f>IF([1]Summ!$I1076="",0,[1]Summ!$I1076)</f>
        <v>-2400</v>
      </c>
      <c r="D41" s="38">
        <f t="shared" si="25"/>
        <v>0</v>
      </c>
      <c r="E41" s="75">
        <f>Poor!E41</f>
        <v>0.3</v>
      </c>
      <c r="F41" s="75">
        <f>Poor!F41</f>
        <v>1.4</v>
      </c>
      <c r="G41" s="75">
        <f>Poor!G41</f>
        <v>1.65</v>
      </c>
      <c r="H41" s="24">
        <f t="shared" si="30"/>
        <v>0.42</v>
      </c>
      <c r="I41" s="39">
        <f t="shared" si="31"/>
        <v>0</v>
      </c>
      <c r="J41" s="38">
        <f t="shared" si="32"/>
        <v>-138.16489736860865</v>
      </c>
      <c r="K41" s="40">
        <f t="shared" si="33"/>
        <v>2.79492255735414E-2</v>
      </c>
      <c r="L41" s="22">
        <f t="shared" si="34"/>
        <v>1.1738674740887387E-2</v>
      </c>
      <c r="M41" s="24">
        <f t="shared" si="35"/>
        <v>-1.6090007845418499E-3</v>
      </c>
      <c r="N41" s="227">
        <v>2</v>
      </c>
      <c r="O41" s="2"/>
      <c r="P41" s="2"/>
      <c r="Q41" s="59" t="s">
        <v>75</v>
      </c>
      <c r="R41" s="220">
        <f>IF($B$81=0,0,(SUMIF($N$6:$N$28,$U11,K$6:K$28)*$B$83+SUMIF($N$37:$N$64,$U11,B$37:B$64))*[2]Poor!$B$81/$B$81)</f>
        <v>28457.142857142859</v>
      </c>
      <c r="S41" s="220">
        <f>IF($B$81=0,0,(SUMIF($N$6:$N$28,$U41,L$6:L$28)+SUMIF($N$91:$N$118,$U41,L$91:L$118))*$I$83*[2]Poor!$B$81/$B$81)</f>
        <v>0</v>
      </c>
      <c r="T41" s="220">
        <f>IF($B$81=0,0,(SUMIF($N$6:$N$28,$U11,M$6:M$28)+SUMIF($N$91:$N$118,$U11,M$91:M$118))*$I$83*[2]Poor!$B$81/$B$81)</f>
        <v>20733.121494092873</v>
      </c>
      <c r="U41" s="56"/>
      <c r="V41" s="56"/>
      <c r="W41" s="115"/>
      <c r="X41" s="194">
        <f>X11</f>
        <v>1</v>
      </c>
      <c r="Y41" s="110"/>
      <c r="Z41" s="122">
        <f>Z11</f>
        <v>0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1</v>
      </c>
      <c r="AG41" s="147">
        <f t="shared" si="36"/>
        <v>-138.16489736860865</v>
      </c>
      <c r="AH41" s="123">
        <f t="shared" si="37"/>
        <v>1</v>
      </c>
      <c r="AI41" s="112">
        <f t="shared" si="37"/>
        <v>-138.16489736860865</v>
      </c>
      <c r="AJ41" s="148">
        <f t="shared" si="38"/>
        <v>0</v>
      </c>
      <c r="AK41" s="147">
        <f t="shared" si="39"/>
        <v>-138.16489736860865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74" t="str">
        <f>IF(Poor!A42=0,"",Poor!A42)</f>
        <v>Beans: kg produced</v>
      </c>
      <c r="B42" s="104">
        <f>IF([1]Summ!$H1077="",0,[1]Summ!$H1077)</f>
        <v>17250</v>
      </c>
      <c r="C42" s="104">
        <f>IF([1]Summ!$I1077="",0,[1]Summ!$I1077)</f>
        <v>0</v>
      </c>
      <c r="D42" s="38">
        <f t="shared" si="25"/>
        <v>17250</v>
      </c>
      <c r="E42" s="75">
        <f>Poor!E42</f>
        <v>0.2</v>
      </c>
      <c r="F42" s="75">
        <f>Poor!F42</f>
        <v>1.4</v>
      </c>
      <c r="G42" s="75">
        <f>Poor!G42</f>
        <v>1.65</v>
      </c>
      <c r="H42" s="24">
        <f t="shared" si="30"/>
        <v>0.27999999999999997</v>
      </c>
      <c r="I42" s="39">
        <f t="shared" si="31"/>
        <v>4829.9999999999991</v>
      </c>
      <c r="J42" s="38">
        <f t="shared" si="32"/>
        <v>4829.9999999999991</v>
      </c>
      <c r="K42" s="40">
        <f t="shared" si="33"/>
        <v>0.20088505880982882</v>
      </c>
      <c r="L42" s="22">
        <f t="shared" si="34"/>
        <v>5.6247816466752067E-2</v>
      </c>
      <c r="M42" s="24">
        <f t="shared" si="35"/>
        <v>5.624781646675206E-2</v>
      </c>
      <c r="N42" s="227">
        <v>2</v>
      </c>
      <c r="O42" s="2"/>
      <c r="P42" s="2"/>
      <c r="Q42" s="126" t="s">
        <v>124</v>
      </c>
      <c r="R42" s="220">
        <f>IF($B$81=0,0,(SUMIF($N$6:$N$28,$U12,K$6:K$28)*$B$83+SUMIF($N$37:$N$64,$U12,B$37:B$64))*[2]Poor!$B$81/$B$81)</f>
        <v>0</v>
      </c>
      <c r="S42" s="220">
        <f>IF($B$81=0,0,(SUMIF($N$6:$N$28,$U42,L$6:L$28)+SUMIF($N$91:$N$118,$U42,L$91:L$118))*$I$83*[2]Poor!$B$81/$B$81)</f>
        <v>0</v>
      </c>
      <c r="T42" s="220">
        <f>IF($B$81=0,0,(SUMIF($N$6:$N$28,$U12,M$6:M$28)+SUMIF($N$91:$N$118,$U12,M$91:M$118))*$I$83*[2]Poor!$B$81/$B$81)</f>
        <v>0</v>
      </c>
      <c r="U42" s="56"/>
      <c r="V42" s="56"/>
      <c r="W42" s="115"/>
      <c r="X42" s="118"/>
      <c r="Y42" s="110"/>
      <c r="Z42" s="156">
        <f>Poor!Z42</f>
        <v>0.25</v>
      </c>
      <c r="AA42" s="147">
        <f t="shared" si="40"/>
        <v>1207.4999999999998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2414.9999999999995</v>
      </c>
      <c r="AF42" s="122">
        <f t="shared" si="29"/>
        <v>0.25</v>
      </c>
      <c r="AG42" s="147">
        <f t="shared" si="36"/>
        <v>1207.4999999999998</v>
      </c>
      <c r="AH42" s="123">
        <f t="shared" si="37"/>
        <v>1</v>
      </c>
      <c r="AI42" s="112">
        <f t="shared" si="37"/>
        <v>4829.9999999999991</v>
      </c>
      <c r="AJ42" s="148">
        <f t="shared" si="38"/>
        <v>1207.4999999999998</v>
      </c>
      <c r="AK42" s="147">
        <f t="shared" si="39"/>
        <v>3622.4999999999991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74" t="str">
        <f>IF(Poor!A43=0,"",Poor!A43)</f>
        <v>potatoes: kg produced</v>
      </c>
      <c r="B43" s="104">
        <f>IF([1]Summ!$H1078="",0,[1]Summ!$H1078)</f>
        <v>2500</v>
      </c>
      <c r="C43" s="104">
        <f>IF([1]Summ!$I1078="",0,[1]Summ!$I1078)</f>
        <v>-2500</v>
      </c>
      <c r="D43" s="38">
        <f t="shared" si="25"/>
        <v>0</v>
      </c>
      <c r="E43" s="75">
        <f>Poor!E43</f>
        <v>0.2</v>
      </c>
      <c r="F43" s="75">
        <f>Poor!F43</f>
        <v>1.4</v>
      </c>
      <c r="G43" s="75">
        <f>Poor!G43</f>
        <v>1.65</v>
      </c>
      <c r="H43" s="24">
        <f t="shared" si="30"/>
        <v>0.27999999999999997</v>
      </c>
      <c r="I43" s="39">
        <f t="shared" si="31"/>
        <v>0</v>
      </c>
      <c r="J43" s="38">
        <f t="shared" si="32"/>
        <v>-95.947845394867187</v>
      </c>
      <c r="K43" s="40">
        <f t="shared" si="33"/>
        <v>2.9113776639105624E-2</v>
      </c>
      <c r="L43" s="22">
        <f t="shared" si="34"/>
        <v>8.151857458949573E-3</v>
      </c>
      <c r="M43" s="24">
        <f t="shared" si="35"/>
        <v>-1.1173616559318411E-3</v>
      </c>
      <c r="N43" s="227">
        <v>2</v>
      </c>
      <c r="O43" s="2"/>
      <c r="P43" s="2"/>
      <c r="Q43" s="59" t="s">
        <v>76</v>
      </c>
      <c r="R43" s="220">
        <f>IF($B$81=0,0,(SUMIF($N$6:$N$28,$U13,K$6:K$28)*$B$83+SUMIF($N$37:$N$64,$U13,B$37:B$64))*[2]Poor!$B$81/$B$81)</f>
        <v>0</v>
      </c>
      <c r="S43" s="220">
        <f>IF($B$81=0,0,(SUMIF($N$6:$N$28,$U43,L$6:L$28)+SUMIF($N$91:$N$118,$U43,L$91:L$118))*$I$83*[2]Poor!$B$81/$B$81)</f>
        <v>0</v>
      </c>
      <c r="T43" s="220">
        <f>IF($B$81=0,0,(SUMIF($N$6:$N$28,$U13,M$6:M$28)+SUMIF($N$91:$N$118,$U13,M$91:M$118))*$I$83*[2]Poor!$B$81/$B$81)</f>
        <v>10357.028571428571</v>
      </c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-23.986961348716797</v>
      </c>
      <c r="AB43" s="156">
        <f>Poor!AB43</f>
        <v>0.25</v>
      </c>
      <c r="AC43" s="147">
        <f t="shared" si="41"/>
        <v>-23.986961348716797</v>
      </c>
      <c r="AD43" s="156">
        <f>Poor!AD43</f>
        <v>0.25</v>
      </c>
      <c r="AE43" s="147">
        <f t="shared" si="42"/>
        <v>-23.986961348716797</v>
      </c>
      <c r="AF43" s="122">
        <f t="shared" si="29"/>
        <v>0.25</v>
      </c>
      <c r="AG43" s="147">
        <f t="shared" si="36"/>
        <v>-23.986961348716797</v>
      </c>
      <c r="AH43" s="123">
        <f t="shared" si="37"/>
        <v>1</v>
      </c>
      <c r="AI43" s="112">
        <f t="shared" si="37"/>
        <v>-95.947845394867187</v>
      </c>
      <c r="AJ43" s="148">
        <f t="shared" si="38"/>
        <v>-47.973922697433593</v>
      </c>
      <c r="AK43" s="147">
        <f t="shared" si="39"/>
        <v>-47.973922697433593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74" t="str">
        <f>IF(Poor!A44=0,"",Poor!A44)</f>
        <v>Agricultural cash income -- see Data2</v>
      </c>
      <c r="B44" s="104">
        <f>IF([1]Summ!$H1079="",0,[1]Summ!$H1079)</f>
        <v>0</v>
      </c>
      <c r="C44" s="104">
        <f>IF([1]Summ!$I1079="",0,[1]Summ!$I1079)</f>
        <v>0</v>
      </c>
      <c r="D44" s="38">
        <f t="shared" si="25"/>
        <v>0</v>
      </c>
      <c r="E44" s="75">
        <f>Poor!E44</f>
        <v>0.5</v>
      </c>
      <c r="F44" s="75">
        <f>Poor!F44</f>
        <v>1.1100000000000001</v>
      </c>
      <c r="G44" s="75">
        <f>Poor!G44</f>
        <v>1.65</v>
      </c>
      <c r="H44" s="24">
        <f t="shared" si="30"/>
        <v>0.55500000000000005</v>
      </c>
      <c r="I44" s="39">
        <f t="shared" si="31"/>
        <v>0</v>
      </c>
      <c r="J44" s="38">
        <f t="shared" si="32"/>
        <v>0</v>
      </c>
      <c r="K44" s="40">
        <f t="shared" si="33"/>
        <v>0</v>
      </c>
      <c r="L44" s="22">
        <f t="shared" si="34"/>
        <v>0</v>
      </c>
      <c r="M44" s="24">
        <f t="shared" si="35"/>
        <v>0</v>
      </c>
      <c r="N44" s="227">
        <v>7</v>
      </c>
      <c r="O44" s="2"/>
      <c r="P44" s="2"/>
      <c r="Q44" s="126" t="s">
        <v>77</v>
      </c>
      <c r="R44" s="220">
        <f>IF($B$81=0,0,(SUMIF($N$6:$N$28,$U14,K$6:K$28)*$B$83+SUMIF($N$37:$N$64,$U14,B$37:B$64))*[2]Poor!$B$81/$B$81)</f>
        <v>21942.857142857141</v>
      </c>
      <c r="S44" s="220">
        <f>IF($B$81=0,0,(SUMIF($N$6:$N$28,$U44,L$6:L$28)+SUMIF($N$91:$N$118,$U44,L$91:L$118))*$I$83*[2]Poor!$B$81/$B$81)</f>
        <v>0</v>
      </c>
      <c r="T44" s="220">
        <f>IF($B$81=0,0,(SUMIF($N$6:$N$28,$U14,M$6:M$28)+SUMIF($N$91:$N$118,$U14,M$91:M$118))*$I$83*[2]Poor!$B$81/$B$81)</f>
        <v>0</v>
      </c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0</v>
      </c>
      <c r="AB44" s="156">
        <f>Poor!AB44</f>
        <v>0.25</v>
      </c>
      <c r="AC44" s="147">
        <f t="shared" si="41"/>
        <v>0</v>
      </c>
      <c r="AD44" s="156">
        <f>Poor!AD44</f>
        <v>0.25</v>
      </c>
      <c r="AE44" s="147">
        <f t="shared" si="42"/>
        <v>0</v>
      </c>
      <c r="AF44" s="122">
        <f t="shared" si="29"/>
        <v>0.25</v>
      </c>
      <c r="AG44" s="147">
        <f t="shared" si="36"/>
        <v>0</v>
      </c>
      <c r="AH44" s="123">
        <f t="shared" si="37"/>
        <v>1</v>
      </c>
      <c r="AI44" s="112">
        <f t="shared" si="37"/>
        <v>0</v>
      </c>
      <c r="AJ44" s="148">
        <f t="shared" si="38"/>
        <v>0</v>
      </c>
      <c r="AK44" s="147">
        <f t="shared" si="3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74" t="str">
        <f>IF(Poor!A45=0,"",Poor!A45)</f>
        <v>Construction cash income -- see Data2</v>
      </c>
      <c r="B45" s="104">
        <f>IF([1]Summ!$H1080="",0,[1]Summ!$H1080)</f>
        <v>0</v>
      </c>
      <c r="C45" s="104">
        <f>IF([1]Summ!$I1080="",0,[1]Summ!$I1080)</f>
        <v>0</v>
      </c>
      <c r="D45" s="38">
        <f t="shared" si="25"/>
        <v>0</v>
      </c>
      <c r="E45" s="75">
        <f>Poor!E45</f>
        <v>0.5</v>
      </c>
      <c r="F45" s="75">
        <f>Poor!F45</f>
        <v>1.1100000000000001</v>
      </c>
      <c r="G45" s="75">
        <f>Poor!G45</f>
        <v>1.65</v>
      </c>
      <c r="H45" s="24">
        <f t="shared" si="30"/>
        <v>0.55500000000000005</v>
      </c>
      <c r="I45" s="39">
        <f t="shared" si="31"/>
        <v>0</v>
      </c>
      <c r="J45" s="38">
        <f t="shared" si="32"/>
        <v>0</v>
      </c>
      <c r="K45" s="40">
        <f t="shared" si="33"/>
        <v>0</v>
      </c>
      <c r="L45" s="22">
        <f t="shared" si="34"/>
        <v>0</v>
      </c>
      <c r="M45" s="24">
        <f t="shared" si="35"/>
        <v>0</v>
      </c>
      <c r="N45" s="227">
        <v>7</v>
      </c>
      <c r="O45" s="2"/>
      <c r="P45" s="2"/>
      <c r="Q45" s="59" t="s">
        <v>127</v>
      </c>
      <c r="R45" s="220">
        <f>IF($B$81=0,0,(SUMIF($N$6:$N$28,$U15,K$6:K$28)*$B$83+SUMIF($N$37:$N$64,$U15,B$37:B$64))*[2]Poor!$B$81/$B$81)</f>
        <v>0</v>
      </c>
      <c r="S45" s="220">
        <f>IF($B$81=0,0,(SUMIF($N$6:$N$28,$U45,L$6:L$28)+SUMIF($N$91:$N$118,$U45,L$91:L$118))*$I$83*[2]Poor!$B$81/$B$81)</f>
        <v>0</v>
      </c>
      <c r="T45" s="220">
        <f>IF($B$81=0,0,(SUMIF($N$6:$N$28,$U15,M$6:M$28)+SUMIF($N$91:$N$118,$U15,M$91:M$118))*$I$83*[2]Poor!$B$81/$B$81)</f>
        <v>0</v>
      </c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0</v>
      </c>
      <c r="AB45" s="156">
        <f>Poor!AB45</f>
        <v>0.25</v>
      </c>
      <c r="AC45" s="147">
        <f t="shared" si="41"/>
        <v>0</v>
      </c>
      <c r="AD45" s="156">
        <f>Poor!AD45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74" t="str">
        <f>IF(Poor!A46=0,"",Poor!A46)</f>
        <v>Domestic work cash income -- see Data2</v>
      </c>
      <c r="B46" s="104">
        <f>IF([1]Summ!$H1081="",0,[1]Summ!$H1081)</f>
        <v>0</v>
      </c>
      <c r="C46" s="104">
        <f>IF([1]Summ!$I1081="",0,[1]Summ!$I1081)</f>
        <v>0</v>
      </c>
      <c r="D46" s="38">
        <f t="shared" si="25"/>
        <v>0</v>
      </c>
      <c r="E46" s="75">
        <f>Poor!E46</f>
        <v>0.5</v>
      </c>
      <c r="F46" s="75">
        <f>Poor!F46</f>
        <v>1.1100000000000001</v>
      </c>
      <c r="G46" s="75">
        <f>Poor!G46</f>
        <v>1.65</v>
      </c>
      <c r="H46" s="24">
        <f t="shared" si="30"/>
        <v>0.55500000000000005</v>
      </c>
      <c r="I46" s="39">
        <f t="shared" si="31"/>
        <v>0</v>
      </c>
      <c r="J46" s="38">
        <f t="shared" si="32"/>
        <v>0</v>
      </c>
      <c r="K46" s="40">
        <f t="shared" si="33"/>
        <v>0</v>
      </c>
      <c r="L46" s="22">
        <f t="shared" si="34"/>
        <v>0</v>
      </c>
      <c r="M46" s="24">
        <f t="shared" si="35"/>
        <v>0</v>
      </c>
      <c r="N46" s="227">
        <v>7</v>
      </c>
      <c r="O46" s="2"/>
      <c r="P46" s="2"/>
      <c r="Q46" s="126" t="s">
        <v>78</v>
      </c>
      <c r="R46" s="220">
        <f>IF($B$81=0,0,(SUMIF($N$6:$N$28,$U16,K$6:K$28)*$B$83+SUMIF($N$37:$N$64,$U16,B$37:B$64))*[2]Poor!$B$81/$B$81)</f>
        <v>0</v>
      </c>
      <c r="S46" s="220">
        <f>IF($B$81=0,0,(SUMIF($N$6:$N$28,$U46,L$6:L$28)+SUMIF($N$91:$N$118,$U46,L$91:L$118))*$I$83*[2]Poor!$B$81/$B$81)</f>
        <v>0</v>
      </c>
      <c r="T46" s="220">
        <f>IF($B$81=0,0,(SUMIF($N$6:$N$28,$U16,M$6:M$28)+SUMIF($N$91:$N$118,$U16,M$91:M$118))*$I$83*[2]Poor!$B$81/$B$81)</f>
        <v>0</v>
      </c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0</v>
      </c>
      <c r="AB46" s="156">
        <f>Poor!AB46</f>
        <v>0.25</v>
      </c>
      <c r="AC46" s="147">
        <f t="shared" si="41"/>
        <v>0</v>
      </c>
      <c r="AD46" s="156">
        <f>Poor!AD46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74" t="str">
        <f>IF(Poor!A47=0,"",Poor!A47)</f>
        <v>Labour migration(formal employment): no. people per HH</v>
      </c>
      <c r="B47" s="104">
        <f>IF([1]Summ!$H1082="",0,[1]Summ!$H1082)</f>
        <v>19200</v>
      </c>
      <c r="C47" s="104">
        <f>IF([1]Summ!$I1082="",0,[1]Summ!$I1082)</f>
        <v>0</v>
      </c>
      <c r="D47" s="38">
        <f t="shared" si="25"/>
        <v>19200</v>
      </c>
      <c r="E47" s="75">
        <f>Poor!E47</f>
        <v>0.4</v>
      </c>
      <c r="F47" s="75">
        <f>Poor!F47</f>
        <v>1.18</v>
      </c>
      <c r="G47" s="75">
        <f>Poor!G47</f>
        <v>1.65</v>
      </c>
      <c r="H47" s="24">
        <f t="shared" si="30"/>
        <v>0.47199999999999998</v>
      </c>
      <c r="I47" s="39">
        <f t="shared" si="31"/>
        <v>9062.4</v>
      </c>
      <c r="J47" s="38">
        <f t="shared" si="32"/>
        <v>9062.4</v>
      </c>
      <c r="K47" s="40">
        <f t="shared" si="33"/>
        <v>0.2235938045883312</v>
      </c>
      <c r="L47" s="22">
        <f t="shared" si="34"/>
        <v>0.10553627576569231</v>
      </c>
      <c r="M47" s="24">
        <f t="shared" si="35"/>
        <v>0.10553627576569233</v>
      </c>
      <c r="N47" s="227">
        <v>8</v>
      </c>
      <c r="O47" s="2"/>
      <c r="P47" s="2"/>
      <c r="Q47" s="126" t="s">
        <v>125</v>
      </c>
      <c r="R47" s="220">
        <f>IF($B$81=0,0,(SUMIF($N$6:$N$28,$U17,K$6:K$28)*$B$83+SUMIF($N$37:$N$64,$U17,B$37:B$64))*[2]Poor!$B$81/$B$81)</f>
        <v>0</v>
      </c>
      <c r="S47" s="220">
        <f>IF($B$81=0,0,(SUMIF($N$6:$N$28,$U47,L$6:L$28)+SUMIF($N$91:$N$118,$U47,L$91:L$118))*$I$83*[2]Poor!$B$81/$B$81)</f>
        <v>0</v>
      </c>
      <c r="T47" s="220">
        <f>IF($B$81=0,0,(SUMIF($N$6:$N$28,$U17,M$6:M$28)+SUMIF($N$91:$N$118,$U17,M$91:M$118))*$I$83*[2]Poor!$B$81/$B$81)</f>
        <v>0</v>
      </c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2265.6</v>
      </c>
      <c r="AB47" s="156">
        <f>Poor!AB47</f>
        <v>0.25</v>
      </c>
      <c r="AC47" s="147">
        <f t="shared" si="41"/>
        <v>2265.6</v>
      </c>
      <c r="AD47" s="156">
        <f>Poor!AD47</f>
        <v>0.25</v>
      </c>
      <c r="AE47" s="147">
        <f t="shared" si="42"/>
        <v>2265.6</v>
      </c>
      <c r="AF47" s="122">
        <f t="shared" si="29"/>
        <v>0.25</v>
      </c>
      <c r="AG47" s="147">
        <f t="shared" si="36"/>
        <v>2265.6</v>
      </c>
      <c r="AH47" s="123">
        <f t="shared" si="37"/>
        <v>1</v>
      </c>
      <c r="AI47" s="112">
        <f t="shared" si="37"/>
        <v>9062.4</v>
      </c>
      <c r="AJ47" s="148">
        <f t="shared" si="38"/>
        <v>4531.2</v>
      </c>
      <c r="AK47" s="147">
        <f t="shared" si="39"/>
        <v>4531.2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74" t="str">
        <f>IF(Poor!A48=0,"",Poor!A48)</f>
        <v>Small business -- see Data2</v>
      </c>
      <c r="B48" s="104">
        <f>IF([1]Summ!$H1083="",0,[1]Summ!$H1083)</f>
        <v>0</v>
      </c>
      <c r="C48" s="104">
        <f>IF([1]Summ!$I1083="",0,[1]Summ!$I1083)</f>
        <v>0</v>
      </c>
      <c r="D48" s="38">
        <f t="shared" si="25"/>
        <v>0</v>
      </c>
      <c r="E48" s="75">
        <f>Poor!E48</f>
        <v>0.8</v>
      </c>
      <c r="F48" s="75">
        <f>Poor!F48</f>
        <v>1.18</v>
      </c>
      <c r="G48" s="75">
        <f>Poor!G48</f>
        <v>1.65</v>
      </c>
      <c r="H48" s="24">
        <f t="shared" si="30"/>
        <v>0.94399999999999995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27">
        <v>11</v>
      </c>
      <c r="O48" s="2"/>
      <c r="P48" s="2"/>
      <c r="Q48" s="59" t="s">
        <v>79</v>
      </c>
      <c r="R48" s="220">
        <f>IF($B$81=0,0,(SUMIF($N$6:$N$28,$U18,K$6:K$28)*$B$83+SUMIF($N$37:$N$64,$U18,B$37:B$64))*[2]Poor!$B$81/$B$81)</f>
        <v>1401.3106912413493</v>
      </c>
      <c r="S48" s="220">
        <f>IF($B$81=0,0,(SUMIF($N$6:$N$28,$U48,L$6:L$28)+SUMIF($N$91:$N$118,$U48,L$91:L$118))*$I$83*[2]Poor!$B$81/$B$81)</f>
        <v>0</v>
      </c>
      <c r="T48" s="220">
        <f>IF($B$81=0,0,(SUMIF($N$6:$N$28,$U18,M$6:M$28)+SUMIF($N$91:$N$118,$U18,M$91:M$118))*$I$83*[2]Poor!$B$81/$B$81)</f>
        <v>2312.1626405482261</v>
      </c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0</v>
      </c>
      <c r="AB48" s="156">
        <f>Poor!AB48</f>
        <v>0.25</v>
      </c>
      <c r="AC48" s="147">
        <f t="shared" si="41"/>
        <v>0</v>
      </c>
      <c r="AD48" s="156">
        <f>Poor!AD48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74" t="str">
        <f>IF(Poor!A49=0,"",Poor!A49)</f>
        <v>Social development -- see Data2</v>
      </c>
      <c r="B49" s="104">
        <f>IF([1]Summ!$H1084="",0,[1]Summ!$H1084)</f>
        <v>7620</v>
      </c>
      <c r="C49" s="104">
        <f>IF([1]Summ!$I1084="",0,[1]Summ!$I1084)</f>
        <v>0</v>
      </c>
      <c r="D49" s="38">
        <f t="shared" si="25"/>
        <v>7620</v>
      </c>
      <c r="E49" s="75">
        <f>Poor!E49</f>
        <v>0</v>
      </c>
      <c r="F49" s="75">
        <f>Poor!F49</f>
        <v>1.18</v>
      </c>
      <c r="G49" s="75">
        <f>Poor!G49</f>
        <v>1.65</v>
      </c>
      <c r="H49" s="24">
        <f t="shared" si="30"/>
        <v>0</v>
      </c>
      <c r="I49" s="39">
        <f t="shared" si="31"/>
        <v>0</v>
      </c>
      <c r="J49" s="38">
        <f t="shared" si="32"/>
        <v>0</v>
      </c>
      <c r="K49" s="40">
        <f t="shared" si="33"/>
        <v>8.8738791195993941E-2</v>
      </c>
      <c r="L49" s="22">
        <f t="shared" si="34"/>
        <v>0</v>
      </c>
      <c r="M49" s="24">
        <f t="shared" si="35"/>
        <v>0</v>
      </c>
      <c r="N49" s="227">
        <v>14</v>
      </c>
      <c r="O49" s="2"/>
      <c r="P49" s="2"/>
      <c r="Q49" s="59" t="s">
        <v>80</v>
      </c>
      <c r="R49" s="220">
        <f>IF($B$81=0,0,(SUMIF($N$6:$N$28,$U19,K$6:K$28)*$B$83+SUMIF($N$37:$N$64,$U19,B$37:B$64))*[2]Poor!$B$81/$B$81)</f>
        <v>0</v>
      </c>
      <c r="S49" s="220">
        <f>IF($B$81=0,0,(SUMIF($N$6:$N$28,$U49,L$6:L$28)+SUMIF($N$91:$N$118,$U49,L$91:L$118))*$I$83*[2]Poor!$B$81/$B$81)</f>
        <v>0</v>
      </c>
      <c r="T49" s="220">
        <f>IF($B$81=0,0,(SUMIF($N$6:$N$28,$U19,M$6:M$28)+SUMIF($N$91:$N$118,$U19,M$91:M$118))*$I$83*[2]Poor!$B$81/$B$81)</f>
        <v>0</v>
      </c>
      <c r="U49" s="56"/>
      <c r="V49" s="56"/>
      <c r="W49" s="110"/>
      <c r="X49" s="118"/>
      <c r="Y49" s="110"/>
      <c r="Z49" s="156">
        <f>Poor!Z49</f>
        <v>0.25</v>
      </c>
      <c r="AA49" s="147">
        <f t="shared" si="40"/>
        <v>0</v>
      </c>
      <c r="AB49" s="156">
        <f>Poor!AB49</f>
        <v>0.25</v>
      </c>
      <c r="AC49" s="147">
        <f t="shared" si="41"/>
        <v>0</v>
      </c>
      <c r="AD49" s="156">
        <f>Poor!AD49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74" t="str">
        <f>IF(Poor!A50=0,"",Poor!A50)</f>
        <v>Public works -- see Data2</v>
      </c>
      <c r="B50" s="104">
        <f>IF([1]Summ!$H1085="",0,[1]Summ!$H1085)</f>
        <v>0</v>
      </c>
      <c r="C50" s="104">
        <f>IF([1]Summ!$I1085="",0,[1]Summ!$I1085)</f>
        <v>0</v>
      </c>
      <c r="D50" s="38">
        <f t="shared" si="25"/>
        <v>0</v>
      </c>
      <c r="E50" s="75">
        <f>Poor!E50</f>
        <v>1</v>
      </c>
      <c r="F50" s="75">
        <f>Poor!F50</f>
        <v>1.18</v>
      </c>
      <c r="G50" s="75">
        <f>Poor!G50</f>
        <v>1.65</v>
      </c>
      <c r="H50" s="24">
        <f t="shared" si="30"/>
        <v>1.18</v>
      </c>
      <c r="I50" s="39">
        <f t="shared" si="31"/>
        <v>0</v>
      </c>
      <c r="J50" s="38">
        <f t="shared" si="32"/>
        <v>0</v>
      </c>
      <c r="K50" s="40">
        <f t="shared" si="33"/>
        <v>0</v>
      </c>
      <c r="L50" s="22">
        <f t="shared" si="34"/>
        <v>0</v>
      </c>
      <c r="M50" s="24">
        <f t="shared" si="35"/>
        <v>0</v>
      </c>
      <c r="N50" s="227">
        <v>9</v>
      </c>
      <c r="O50" s="2"/>
      <c r="P50" s="2"/>
      <c r="Q50" s="59" t="s">
        <v>81</v>
      </c>
      <c r="R50" s="220">
        <f>IF($B$81=0,0,(SUMIF($N$6:$N$28,$U20,K$6:K$28)*$B$83+SUMIF($N$37:$N$64,$U20,B$37:B$64))*[2]Poor!$B$81/$B$81)</f>
        <v>8708.5714285714294</v>
      </c>
      <c r="S50" s="220">
        <f>IF($B$81=0,0,(SUMIF($N$6:$N$28,$U50,L$6:L$28)+SUMIF($N$91:$N$118,$U50,L$91:L$118))*$I$83*[2]Poor!$B$81/$B$81)</f>
        <v>0</v>
      </c>
      <c r="T50" s="220">
        <f>IF($B$81=0,0,(SUMIF($N$6:$N$28,$U20,M$6:M$28)+SUMIF($N$91:$N$118,$U20,M$91:M$118))*$I$83*[2]Poor!$B$81/$B$81)</f>
        <v>0</v>
      </c>
      <c r="U50" s="56"/>
      <c r="V50" s="56"/>
      <c r="W50" s="110"/>
      <c r="X50" s="118"/>
      <c r="Y50" s="110"/>
      <c r="Z50" s="156">
        <f>Poor!Z55</f>
        <v>0.25</v>
      </c>
      <c r="AA50" s="147">
        <f t="shared" si="40"/>
        <v>0</v>
      </c>
      <c r="AB50" s="156">
        <f>Poor!AB55</f>
        <v>0.25</v>
      </c>
      <c r="AC50" s="147">
        <f t="shared" si="41"/>
        <v>0</v>
      </c>
      <c r="AD50" s="156">
        <f>Poor!AD55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74" t="str">
        <f>IF(Poor!A51=0,"",Poor!A51)</f>
        <v>Gifts/social support: type (Child support, Pension and Foster Care)</v>
      </c>
      <c r="B51" s="104">
        <f>IF([1]Summ!$H1086="",0,[1]Summ!$H1086)</f>
        <v>0</v>
      </c>
      <c r="C51" s="104">
        <f>IF([1]Summ!$I1086="",0,[1]Summ!$I1086)</f>
        <v>0</v>
      </c>
      <c r="D51" s="38">
        <f t="shared" si="25"/>
        <v>0</v>
      </c>
      <c r="E51" s="75">
        <f>Poor!E51</f>
        <v>1</v>
      </c>
      <c r="F51" s="75">
        <f>Poor!F51</f>
        <v>1</v>
      </c>
      <c r="G51" s="75">
        <f>Poor!G51</f>
        <v>1.65</v>
      </c>
      <c r="H51" s="24">
        <f t="shared" si="30"/>
        <v>1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27">
        <v>15</v>
      </c>
      <c r="O51" s="2"/>
      <c r="P51" s="2"/>
      <c r="Q51" s="59" t="s">
        <v>82</v>
      </c>
      <c r="R51" s="220">
        <f>IF($B$81=0,0,(SUMIF($N$6:$N$28,$U21,K$6:K$28)*$B$83+SUMIF($N$37:$N$64,$U21,B$37:B$64))*[2]Poor!$B$81/$B$81)</f>
        <v>13714.285714285714</v>
      </c>
      <c r="S51" s="220">
        <f>IF($B$81=0,0,(SUMIF($N$6:$N$28,$U51,L$6:L$28)+SUMIF($N$91:$N$118,$U51,L$91:L$118))*$I$83*[2]Poor!$B$81/$B$81)</f>
        <v>0</v>
      </c>
      <c r="T51" s="220">
        <f>IF($B$81=0,0,(SUMIF($N$6:$N$28,$U21,M$6:M$28)+SUMIF($N$91:$N$118,$U21,M$91:M$118))*$I$83*[2]Poor!$B$81/$B$81)</f>
        <v>15222.857142857143</v>
      </c>
      <c r="U51" s="56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74" t="str">
        <f>IF(Poor!A52=0,"",Poor!A52)</f>
        <v>Remittances: no. times per year</v>
      </c>
      <c r="B52" s="104">
        <f>IF([1]Summ!$H1087="",0,[1]Summ!$H1087)</f>
        <v>12000</v>
      </c>
      <c r="C52" s="104">
        <f>IF([1]Summ!$I1087="",0,[1]Summ!$I1087)</f>
        <v>0</v>
      </c>
      <c r="D52" s="38">
        <f t="shared" si="25"/>
        <v>12000</v>
      </c>
      <c r="E52" s="75">
        <f>Poor!E52</f>
        <v>1</v>
      </c>
      <c r="F52" s="75">
        <f>Poor!F52</f>
        <v>1.1100000000000001</v>
      </c>
      <c r="G52" s="75">
        <f>Poor!G52</f>
        <v>1.65</v>
      </c>
      <c r="H52" s="24">
        <f t="shared" si="30"/>
        <v>1.1100000000000001</v>
      </c>
      <c r="I52" s="39">
        <f t="shared" si="31"/>
        <v>13320.000000000002</v>
      </c>
      <c r="J52" s="38">
        <f t="shared" si="32"/>
        <v>13320</v>
      </c>
      <c r="K52" s="40">
        <f t="shared" si="33"/>
        <v>0.13974612786770699</v>
      </c>
      <c r="L52" s="22">
        <f t="shared" si="34"/>
        <v>0.15511820193315476</v>
      </c>
      <c r="M52" s="24">
        <f t="shared" si="35"/>
        <v>0.15511820193315476</v>
      </c>
      <c r="N52" s="227">
        <v>15</v>
      </c>
      <c r="O52" s="2"/>
      <c r="P52" s="2"/>
      <c r="Q52" s="59" t="s">
        <v>83</v>
      </c>
      <c r="R52" s="220">
        <f>IF($B$81=0,0,(SUMIF($N$6:$N$28,$U22,K$6:K$28)*$B$83+SUMIF($N$37:$N$64,$U22,B$37:B$64))*[2]Poor!$B$81/$B$81)</f>
        <v>0</v>
      </c>
      <c r="S52" s="220">
        <f>IF($B$81=0,0,(SUMIF($N$6:$N$28,$U52,L$6:L$28)+SUMIF($N$91:$N$118,$U52,L$91:L$118))*$I$83*[2]Poor!$B$81/$B$81)</f>
        <v>0</v>
      </c>
      <c r="T52" s="220">
        <f>IF($B$81=0,0,(SUMIF($N$6:$N$28,$U22,M$6:M$28)+SUMIF($N$91:$N$118,$U22,M$91:M$118))*$I$83*[2]Poor!$B$81/$B$81)</f>
        <v>0</v>
      </c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3330</v>
      </c>
      <c r="AB52" s="156">
        <f>Poor!AB57</f>
        <v>0.25</v>
      </c>
      <c r="AC52" s="147">
        <f t="shared" si="41"/>
        <v>3330</v>
      </c>
      <c r="AD52" s="156">
        <f>Poor!AD57</f>
        <v>0.25</v>
      </c>
      <c r="AE52" s="147">
        <f t="shared" si="42"/>
        <v>3330</v>
      </c>
      <c r="AF52" s="122">
        <f t="shared" si="29"/>
        <v>0.25</v>
      </c>
      <c r="AG52" s="147">
        <f t="shared" si="36"/>
        <v>3330</v>
      </c>
      <c r="AH52" s="123">
        <f t="shared" si="37"/>
        <v>1</v>
      </c>
      <c r="AI52" s="112">
        <f t="shared" si="37"/>
        <v>13320</v>
      </c>
      <c r="AJ52" s="148">
        <f t="shared" si="38"/>
        <v>6660</v>
      </c>
      <c r="AK52" s="147">
        <f t="shared" si="39"/>
        <v>6660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 thickBot="1">
      <c r="A53" s="74" t="str">
        <f>IF(Poor!A53=0,"",Poor!A53)</f>
        <v/>
      </c>
      <c r="B53" s="104">
        <f>IF([1]Summ!$H1088="",0,[1]Summ!$H1088)</f>
        <v>0</v>
      </c>
      <c r="C53" s="104">
        <f>IF([1]Summ!$I1088="",0,[1]Summ!$I1088)</f>
        <v>0</v>
      </c>
      <c r="D53" s="38">
        <f t="shared" si="25"/>
        <v>0</v>
      </c>
      <c r="E53" s="75">
        <f>Poor!E53</f>
        <v>1</v>
      </c>
      <c r="F53" s="75">
        <f>Poor!F53</f>
        <v>1</v>
      </c>
      <c r="G53" s="75">
        <f>Poor!G53</f>
        <v>1.65</v>
      </c>
      <c r="H53" s="24">
        <f t="shared" si="30"/>
        <v>1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171" t="s">
        <v>100</v>
      </c>
      <c r="R53" s="179">
        <f>SUM(R37:R52)</f>
        <v>103687.67488574953</v>
      </c>
      <c r="S53" s="179">
        <f>SUM(S37:S52)</f>
        <v>0</v>
      </c>
      <c r="T53" s="179">
        <f>SUM(T37:T52)</f>
        <v>61238.276422542811</v>
      </c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 thickTop="1">
      <c r="A54" s="74" t="str">
        <f>IF(Poor!A54=0,"",Poor!A54)</f>
        <v/>
      </c>
      <c r="B54" s="104">
        <f>IF([1]Summ!$H1089="",0,[1]Summ!$H1089)</f>
        <v>0</v>
      </c>
      <c r="C54" s="104">
        <f>IF([1]Summ!$I1089="",0,[1]Summ!$I1089)</f>
        <v>0</v>
      </c>
      <c r="D54" s="38">
        <f t="shared" si="25"/>
        <v>0</v>
      </c>
      <c r="E54" s="75">
        <f>Poor!E54</f>
        <v>1</v>
      </c>
      <c r="F54" s="75">
        <f>Poor!F54</f>
        <v>1</v>
      </c>
      <c r="G54" s="75">
        <f>Poor!G54</f>
        <v>1.65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59" t="s">
        <v>137</v>
      </c>
      <c r="R54" s="41">
        <f>IF($B$81=0,0,(SUM(($B$70))+((1-$D$29)*$B$83))*[2]Poor!$B$81/$B$81)</f>
        <v>24062.6463840672</v>
      </c>
      <c r="S54" s="41">
        <f>IF($B$81=0,0,(SUM(($B$70*$H$70))+((1-$D$29)*$I$83))*[2]Poor!$B$81/$B$81)</f>
        <v>35969.406972062054</v>
      </c>
      <c r="T54" s="41">
        <f>IF($B$81=0,0,(SUM(($B$70*$H$70))+((1-$D$29)*$I$83))*[2]Poor!$B$81/$B$81)</f>
        <v>35969.406972062054</v>
      </c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74" t="str">
        <f>IF(Poor!A55=0,"",Poor!A55)</f>
        <v/>
      </c>
      <c r="B55" s="104">
        <f>IF([1]Summ!$H1090="",0,[1]Summ!$H1090)</f>
        <v>0</v>
      </c>
      <c r="C55" s="104">
        <f>IF([1]Summ!$I1090="",0,[1]Summ!$I1090)</f>
        <v>0</v>
      </c>
      <c r="D55" s="38">
        <f t="shared" si="25"/>
        <v>0</v>
      </c>
      <c r="E55" s="75">
        <f>Poor!E55</f>
        <v>1</v>
      </c>
      <c r="F55" s="75">
        <f>Poor!F55</f>
        <v>1</v>
      </c>
      <c r="G55" s="75">
        <f>Poor!G55</f>
        <v>1.65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142" t="s">
        <v>138</v>
      </c>
      <c r="R55" s="41">
        <f>IF($B$81=0,0,(SUM(($B$70),($B$71*$H$71))+((1-$D$29)*$B$83))*[2]Poor!$B$81/$B$81)</f>
        <v>42445.473050733868</v>
      </c>
      <c r="S55" s="41">
        <f>IF($B$81=0,0,(SUM(($B$70*$H$70),($B$71*$H$71))+((1-$D$29)*$I$83))*[2]Poor!$B$81/$B$81)</f>
        <v>54352.233638728721</v>
      </c>
      <c r="T55" s="41">
        <f>IF($B$81=0,0,(SUM(($B$70*$H$70),($B$71*$H$71))+((1-$D$29)*$I$83))*[2]Poor!$B$81/$B$81)</f>
        <v>54352.233638728721</v>
      </c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74" t="str">
        <f>IF(Poor!A56=0,"",Poor!A56)</f>
        <v/>
      </c>
      <c r="B56" s="104">
        <f>IF([1]Summ!$H1091="",0,[1]Summ!$H1091)</f>
        <v>0</v>
      </c>
      <c r="C56" s="104">
        <f>IF([1]Summ!$I1091="",0,[1]Summ!$I1091)</f>
        <v>0</v>
      </c>
      <c r="D56" s="38">
        <f t="shared" si="25"/>
        <v>0</v>
      </c>
      <c r="E56" s="75">
        <f>Poor!E56</f>
        <v>1</v>
      </c>
      <c r="F56" s="75">
        <f>Poor!F56</f>
        <v>1</v>
      </c>
      <c r="G56" s="75">
        <f>Poor!G56</f>
        <v>1.65</v>
      </c>
      <c r="H56" s="24">
        <f t="shared" si="30"/>
        <v>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59" t="s">
        <v>139</v>
      </c>
      <c r="R56" s="41">
        <f>IF($B$81=0,0,(SUM(($B$70),($B$71*$H$71),($B$72*$H$72))+((1-$D$29)*$B$83))*[2]Poor!$B$81/$B$81)</f>
        <v>75183.393050733866</v>
      </c>
      <c r="S56" s="41">
        <f>IF($B$81=0,0,(SUM(($B$70*$H$70),($B$71*$H$71),($B$72*$H$72))+((1-$D$29)*$I$83))*[2]Poor!$B$81/$B$81)</f>
        <v>87090.153638728734</v>
      </c>
      <c r="T56" s="41">
        <f>IF($B$81=0,0,(SUM(($B$70*$H$70),($B$71*$H$71),($B$72*$H$72))+((1-$D$29)*$I$83))*[2]Poor!$B$81/$B$81)</f>
        <v>87090.153638728734</v>
      </c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74" t="str">
        <f>IF(Poor!A57=0,"",Poor!A57)</f>
        <v/>
      </c>
      <c r="B57" s="104">
        <f>IF([1]Summ!$H1092="",0,[1]Summ!$H1092)</f>
        <v>0</v>
      </c>
      <c r="C57" s="104">
        <f>IF([1]Summ!$I1092="",0,[1]Summ!$I1092)</f>
        <v>0</v>
      </c>
      <c r="D57" s="38">
        <f t="shared" si="25"/>
        <v>0</v>
      </c>
      <c r="E57" s="75">
        <f>Poor!E57</f>
        <v>1</v>
      </c>
      <c r="F57" s="75">
        <f>Poor!F57</f>
        <v>1</v>
      </c>
      <c r="G57" s="75">
        <f>Poor!G57</f>
        <v>1.65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74" t="str">
        <f>IF(Poor!A58=0,"",Poor!A58)</f>
        <v/>
      </c>
      <c r="B58" s="104">
        <f>IF([1]Summ!$H1093="",0,[1]Summ!$H1093)</f>
        <v>0</v>
      </c>
      <c r="C58" s="104">
        <f>IF([1]Summ!$I1093="",0,[1]Summ!$I1093)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74" t="str">
        <f>IF(Poor!A59=0,"",Poor!A59)</f>
        <v/>
      </c>
      <c r="B59" s="104">
        <f>IF([1]Summ!$H1094="",0,[1]Summ!$H1094)</f>
        <v>0</v>
      </c>
      <c r="C59" s="104">
        <f>IF([1]Summ!$I1094="",0,[1]Summ!$I1094)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74" t="str">
        <f>IF(Poor!A60=0,"",Poor!A60)</f>
        <v/>
      </c>
      <c r="B60" s="104">
        <f>IF([1]Summ!$H1095="",0,[1]Summ!$H1095)</f>
        <v>0</v>
      </c>
      <c r="C60" s="104">
        <f>IF([1]Summ!$I1095="",0,[1]Summ!$I1095)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74" t="str">
        <f>IF(Poor!A61=0,"",Poor!A61)</f>
        <v/>
      </c>
      <c r="B61" s="104">
        <f>IF([1]Summ!$H1096="",0,[1]Summ!$H1096)</f>
        <v>0</v>
      </c>
      <c r="C61" s="104">
        <f>IF([1]Summ!$I1096="",0,[1]Summ!$I1096)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74" t="str">
        <f>IF(Poor!A62=0,"",Poor!A62)</f>
        <v/>
      </c>
      <c r="B62" s="104">
        <f>IF([1]Summ!$H1097="",0,[1]Summ!$H1097)</f>
        <v>0</v>
      </c>
      <c r="C62" s="104">
        <f>IF([1]Summ!$I1097="",0,[1]Summ!$I1097)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74" t="str">
        <f>IF(Poor!A63=0,"",Poor!A63)</f>
        <v/>
      </c>
      <c r="B63" s="104">
        <f>IF([1]Summ!$H1098="",0,[1]Summ!$H1098)</f>
        <v>0</v>
      </c>
      <c r="C63" s="104">
        <f>IF([1]Summ!$I1098="",0,[1]Summ!$I1098)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74" t="str">
        <f>IF(Poor!A64=0,"",Poor!A64)</f>
        <v/>
      </c>
      <c r="B64" s="104">
        <f>IF([1]Summ!$H1099="",0,[1]Summ!$H1099)</f>
        <v>0</v>
      </c>
      <c r="C64" s="104">
        <f>IF([1]Summ!$I1099="",0,[1]Summ!$I1099)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85870</v>
      </c>
      <c r="C65" s="39">
        <f>SUM(C37:C64)</f>
        <v>-900</v>
      </c>
      <c r="D65" s="42">
        <f>SUM(D37:D64)</f>
        <v>84970</v>
      </c>
      <c r="E65" s="32"/>
      <c r="F65" s="32"/>
      <c r="G65" s="32"/>
      <c r="H65" s="31"/>
      <c r="I65" s="39">
        <f>SUM(I37:I64)</f>
        <v>45030.400000000001</v>
      </c>
      <c r="J65" s="39">
        <f>SUM(J37:J64)</f>
        <v>45119.768564567785</v>
      </c>
      <c r="K65" s="40">
        <f>SUM(K37:K64)</f>
        <v>1</v>
      </c>
      <c r="L65" s="22">
        <f>SUM(L37:L64)</f>
        <v>0.51680913008035401</v>
      </c>
      <c r="M65" s="24">
        <f>SUM(M37:M64)</f>
        <v>0.52544274559878634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7935.16475510073</v>
      </c>
      <c r="AB65" s="137"/>
      <c r="AC65" s="153">
        <f>SUM(AC37:AC64)</f>
        <v>6727.66475510073</v>
      </c>
      <c r="AD65" s="137"/>
      <c r="AE65" s="153">
        <f>SUM(AE37:AE64)</f>
        <v>8905.2341741927485</v>
      </c>
      <c r="AF65" s="137"/>
      <c r="AG65" s="153">
        <f>SUM(AG37:AG64)</f>
        <v>21551.70488017358</v>
      </c>
      <c r="AH65" s="137"/>
      <c r="AI65" s="153">
        <f>SUM(AI37:AI64)</f>
        <v>45119.768564567785</v>
      </c>
      <c r="AJ65" s="153">
        <f>SUM(AJ37:AJ64)</f>
        <v>14662.82951020146</v>
      </c>
      <c r="AK65" s="153">
        <f>SUM(AK37:AK64)</f>
        <v>30456.939054366328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48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[1]Summ!$H1031</f>
        <v>13068.858465770902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18296.40185207926</v>
      </c>
      <c r="J70" s="51">
        <f t="shared" ref="J70:J77" si="44">J124*I$83</f>
        <v>18296.40185207926</v>
      </c>
      <c r="K70" s="40">
        <f>B70/B$76</f>
        <v>0.15219353052021545</v>
      </c>
      <c r="L70" s="22">
        <f t="shared" ref="L70:L75" si="45">(L124*G$37*F$9/F$7)/B$130</f>
        <v>0.21307094272830165</v>
      </c>
      <c r="M70" s="24">
        <f>J70/B$76</f>
        <v>0.21307094272830163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4574.1004630198149</v>
      </c>
      <c r="AB70" s="156">
        <f>Poor!AB70</f>
        <v>0.25</v>
      </c>
      <c r="AC70" s="147">
        <f>$J70*AB70</f>
        <v>4574.1004630198149</v>
      </c>
      <c r="AD70" s="156">
        <f>Poor!AD70</f>
        <v>0.25</v>
      </c>
      <c r="AE70" s="147">
        <f>$J70*AD70</f>
        <v>4574.1004630198149</v>
      </c>
      <c r="AF70" s="156">
        <f>Poor!AF70</f>
        <v>0.25</v>
      </c>
      <c r="AG70" s="147">
        <f>$J70*AF70</f>
        <v>4574.1004630198149</v>
      </c>
      <c r="AH70" s="155">
        <f>SUM(Z70,AB70,AD70,AF70)</f>
        <v>1</v>
      </c>
      <c r="AI70" s="147">
        <f>SUM(AA70,AC70,AE70,AG70)</f>
        <v>18296.40185207926</v>
      </c>
      <c r="AJ70" s="148">
        <f>(AA70+AC70)</f>
        <v>9148.2009260396298</v>
      </c>
      <c r="AK70" s="147">
        <f>(AE70+AG70)</f>
        <v>9148.2009260396298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[1]Summ!$H1032</f>
        <v>13631.333333333334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16084.973333333333</v>
      </c>
      <c r="J71" s="51">
        <f t="shared" si="44"/>
        <v>16084.973333333333</v>
      </c>
      <c r="K71" s="40">
        <f t="shared" ref="K71:K72" si="47">B71/B$76</f>
        <v>0.15874383758394472</v>
      </c>
      <c r="L71" s="22">
        <f t="shared" si="45"/>
        <v>0.18731772834905477</v>
      </c>
      <c r="M71" s="24">
        <f t="shared" ref="M71:M72" si="48">J71/B$76</f>
        <v>0.18731772834905477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[1]Summ!$H1033</f>
        <v>24276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5866.7330546631156</v>
      </c>
      <c r="K72" s="40">
        <f t="shared" si="47"/>
        <v>0.28270641667637125</v>
      </c>
      <c r="L72" s="22">
        <f t="shared" si="45"/>
        <v>9.3079637397045403E-2</v>
      </c>
      <c r="M72" s="24">
        <f t="shared" si="48"/>
        <v>6.8321102301887912E-2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[1]Summ!$H1034</f>
        <v>21400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0.24921392803074416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2272.6799999999998</v>
      </c>
      <c r="AB73" s="156">
        <f>Poor!AB73</f>
        <v>0.09</v>
      </c>
      <c r="AC73" s="147">
        <f>$H$73*$B$73*AB73</f>
        <v>2272.6799999999998</v>
      </c>
      <c r="AD73" s="156">
        <f>Poor!AD73</f>
        <v>0.23</v>
      </c>
      <c r="AE73" s="147">
        <f>$H$73*$B$73*AD73</f>
        <v>5807.96</v>
      </c>
      <c r="AF73" s="156">
        <f>Poor!AF73</f>
        <v>0.59</v>
      </c>
      <c r="AG73" s="147">
        <f>$H$73*$B$73*AF73</f>
        <v>14898.679999999998</v>
      </c>
      <c r="AH73" s="155">
        <f>SUM(Z73,AB73,AD73,AF73)</f>
        <v>1</v>
      </c>
      <c r="AI73" s="147">
        <f>SUM(AA73,AC73,AE73,AG73)</f>
        <v>25252</v>
      </c>
      <c r="AJ73" s="148">
        <f>(AA73+AC73)</f>
        <v>4545.3599999999997</v>
      </c>
      <c r="AK73" s="147">
        <f>(AE73+AG73)</f>
        <v>20706.64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5594.4182457722845</v>
      </c>
      <c r="C74" s="39"/>
      <c r="D74" s="38"/>
      <c r="E74" s="32"/>
      <c r="F74" s="32"/>
      <c r="G74" s="32"/>
      <c r="H74" s="31"/>
      <c r="I74" s="39">
        <f>I128*I$83</f>
        <v>26733.998147920738</v>
      </c>
      <c r="J74" s="51">
        <f t="shared" si="44"/>
        <v>4871.6603244920861</v>
      </c>
      <c r="K74" s="40">
        <f>B74/B$76</f>
        <v>6.514985729326056E-2</v>
      </c>
      <c r="L74" s="22">
        <f t="shared" si="45"/>
        <v>2.3340821605952255E-2</v>
      </c>
      <c r="M74" s="24">
        <f>J74/B$76</f>
        <v>5.6732972219542169E-2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AA30*$I$84/4</f>
        <v>8.7355764567959832E-13</v>
      </c>
      <c r="AB74" s="156"/>
      <c r="AC74" s="147">
        <f>AC30*$I$84/4</f>
        <v>8.7355764567959832E-13</v>
      </c>
      <c r="AD74" s="156"/>
      <c r="AE74" s="147">
        <f>AE30*$I$84/4</f>
        <v>4331.1337111729345</v>
      </c>
      <c r="AF74" s="156"/>
      <c r="AG74" s="147">
        <f>AG30*$I$84/4</f>
        <v>4691.0696420394597</v>
      </c>
      <c r="AH74" s="155"/>
      <c r="AI74" s="147">
        <f>SUM(AA74,AC74,AE74,AG74)</f>
        <v>9022.2033532123969</v>
      </c>
      <c r="AJ74" s="148">
        <f>(AA74+AC74)</f>
        <v>1.7471152913591966E-12</v>
      </c>
      <c r="AK74" s="147">
        <f>(AE74+AG74)</f>
        <v>9022.2033532123933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7899.389955123479</v>
      </c>
      <c r="C75" s="39"/>
      <c r="D75" s="38"/>
      <c r="E75" s="32"/>
      <c r="F75" s="32"/>
      <c r="G75" s="32"/>
      <c r="H75" s="31"/>
      <c r="I75" s="47"/>
      <c r="J75" s="51">
        <f t="shared" si="44"/>
        <v>-7.5470276286313373E-12</v>
      </c>
      <c r="K75" s="40">
        <f>B75/B$76</f>
        <v>9.1992429895463829E-2</v>
      </c>
      <c r="L75" s="22">
        <f t="shared" si="45"/>
        <v>0</v>
      </c>
      <c r="M75" s="24">
        <f>J75/B$76</f>
        <v>-8.7888990667652704E-17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17805.662417992549</v>
      </c>
      <c r="AB75" s="158"/>
      <c r="AC75" s="149">
        <f>AA75+AC65-SUM(AC70,AC74)</f>
        <v>19959.226710073464</v>
      </c>
      <c r="AD75" s="158"/>
      <c r="AE75" s="149">
        <f>AC75+AE65-SUM(AE70,AE74)</f>
        <v>19959.226710073464</v>
      </c>
      <c r="AF75" s="158"/>
      <c r="AG75" s="149">
        <f>IF(SUM(AG6:AG29)+((AG65-AG70-$J$75)*4/I$83)&lt;1,0,AG65-AG70-$J$75-(1-SUM(AG6:AG29))*I$83/4)</f>
        <v>14444.598125911632</v>
      </c>
      <c r="AH75" s="134"/>
      <c r="AI75" s="149">
        <f>AI76-SUM(AI70,AI74)</f>
        <v>17801.163359276128</v>
      </c>
      <c r="AJ75" s="151">
        <f>AJ76-SUM(AJ70,AJ74)</f>
        <v>5514.6285841618283</v>
      </c>
      <c r="AK75" s="149">
        <f>AJ75+AK76-SUM(AK70,AK74)</f>
        <v>17801.163359276132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85870</v>
      </c>
      <c r="C76" s="39"/>
      <c r="D76" s="38"/>
      <c r="E76" s="32"/>
      <c r="F76" s="32"/>
      <c r="G76" s="32"/>
      <c r="H76" s="31"/>
      <c r="I76" s="39">
        <f>I130*I$83</f>
        <v>45030.399999999994</v>
      </c>
      <c r="J76" s="51">
        <f t="shared" si="44"/>
        <v>45119.768564567792</v>
      </c>
      <c r="K76" s="40">
        <f>SUM(K70:K75)</f>
        <v>0.99999999999999989</v>
      </c>
      <c r="L76" s="22">
        <f>SUM(L70:L75)</f>
        <v>0.51680913008035412</v>
      </c>
      <c r="M76" s="24">
        <f>SUM(M70:M75)</f>
        <v>0.52544274559878645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7935.16475510073</v>
      </c>
      <c r="AB76" s="137"/>
      <c r="AC76" s="153">
        <f>AC65</f>
        <v>6727.66475510073</v>
      </c>
      <c r="AD76" s="137"/>
      <c r="AE76" s="153">
        <f>AE65</f>
        <v>8905.2341741927485</v>
      </c>
      <c r="AF76" s="137"/>
      <c r="AG76" s="153">
        <f>AG65</f>
        <v>21551.70488017358</v>
      </c>
      <c r="AH76" s="137"/>
      <c r="AI76" s="153">
        <f>SUM(AA76,AC76,AE76,AG76)</f>
        <v>45119.768564567785</v>
      </c>
      <c r="AJ76" s="154">
        <f>SUM(AA76,AC76)</f>
        <v>14662.82951020146</v>
      </c>
      <c r="AK76" s="154">
        <f>SUM(AE76,AG76)</f>
        <v>30456.939054366328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16084.973333333335</v>
      </c>
      <c r="J77" s="100">
        <f t="shared" si="44"/>
        <v>0</v>
      </c>
      <c r="K77" s="40"/>
      <c r="L77" s="22">
        <f>-(L131*G$37*F$9/F$7)/B$130</f>
        <v>-9.4238090952009412E-2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AA31*$I$84/4</f>
        <v>0</v>
      </c>
      <c r="AB77" s="112"/>
      <c r="AC77" s="111">
        <f>AC31*$I$84/4</f>
        <v>0</v>
      </c>
      <c r="AD77" s="112"/>
      <c r="AE77" s="111">
        <f>AE31*$I$84/4</f>
        <v>0</v>
      </c>
      <c r="AF77" s="112"/>
      <c r="AG77" s="111">
        <f>AG31*$I$84/4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14444.598125911632</v>
      </c>
      <c r="AB78" s="112"/>
      <c r="AC78" s="112">
        <f>IF(AA75&lt;0,0,AA75)</f>
        <v>17805.662417992549</v>
      </c>
      <c r="AD78" s="112"/>
      <c r="AE78" s="112">
        <f>AC75</f>
        <v>19959.226710073464</v>
      </c>
      <c r="AF78" s="112"/>
      <c r="AG78" s="112">
        <f>AE75</f>
        <v>19959.226710073464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28" t="str">
        <f>[1]Summ!$H1037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17805.662417992549</v>
      </c>
      <c r="AB79" s="112"/>
      <c r="AC79" s="112">
        <f>AA79-AA74+AC65-AC70</f>
        <v>19959.226710073464</v>
      </c>
      <c r="AD79" s="112"/>
      <c r="AE79" s="112">
        <f>AC79-AC74+AE65-AE70</f>
        <v>24290.360421246398</v>
      </c>
      <c r="AF79" s="112"/>
      <c r="AG79" s="112">
        <f>AE79-AE74+AG65-AG70</f>
        <v>36936.831127227226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[1]Summ!$H1038</f>
        <v>0.64638090248077151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8">
        <f>[1]Summ!$H1039</f>
        <v>7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[1]Summ!$H1040</f>
        <v>6.2365204888569377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10299.633580623919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16994.395408029464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$I$84*Z82/4</f>
        <v>7868.3077751385736</v>
      </c>
      <c r="AB83" s="112"/>
      <c r="AC83" s="165">
        <f>$I$84*AB82/4</f>
        <v>7868.3077751385736</v>
      </c>
      <c r="AD83" s="112"/>
      <c r="AE83" s="165">
        <f>$I$84*AD82/4</f>
        <v>7868.3077751385736</v>
      </c>
      <c r="AF83" s="112"/>
      <c r="AG83" s="165">
        <f>$I$84*AF82/4</f>
        <v>7868.3077751385736</v>
      </c>
      <c r="AH83" s="165">
        <f>SUM(AA83,AC83,AE83,AG83)</f>
        <v>31473.231100554294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2">
        <f>B70+((1-D29)*B83)</f>
        <v>21054.815586058801</v>
      </c>
      <c r="C84" s="46"/>
      <c r="D84" s="233"/>
      <c r="E84" s="64"/>
      <c r="F84" s="64"/>
      <c r="G84" s="64"/>
      <c r="H84" s="234">
        <f>IF(B84=0,0,I84/B84)</f>
        <v>1.4948234037914787</v>
      </c>
      <c r="I84" s="232">
        <f>(B70*H70)+((1-(D29*H29))*I83)</f>
        <v>31473.231100554294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[1]Summ!$J$892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Middle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 t="shared" ref="B91:C118" si="50">(B37/$B$83)</f>
        <v>1.5534533218832016</v>
      </c>
      <c r="C91" s="75">
        <f t="shared" si="50"/>
        <v>0</v>
      </c>
      <c r="D91" s="24">
        <f t="shared" ref="D91" si="51">(B91+C91)</f>
        <v>1.5534533218832016</v>
      </c>
      <c r="H91" s="24">
        <f>(E37*F37/G37*F$7/F$9)</f>
        <v>0.3575757575757576</v>
      </c>
      <c r="I91" s="22">
        <f t="shared" ref="I91" si="52">(D91*H91)</f>
        <v>0.55547724843096302</v>
      </c>
      <c r="J91" s="24">
        <f>IF(I$32&lt;=1+I$131,I91,L91+J$33*(I91-L91))</f>
        <v>0.55547724843096302</v>
      </c>
      <c r="K91" s="22">
        <f t="shared" ref="K91" si="53">(B91)</f>
        <v>1.5534533218832016</v>
      </c>
      <c r="L91" s="22">
        <f t="shared" ref="L91" si="54">(K91*H91)</f>
        <v>0.55547724843096302</v>
      </c>
      <c r="M91" s="225">
        <f t="shared" si="49"/>
        <v>0.55547724843096302</v>
      </c>
      <c r="N91" s="227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Goat sales - local: no. sold</v>
      </c>
      <c r="B92" s="75">
        <f t="shared" si="50"/>
        <v>0.58254499570620055</v>
      </c>
      <c r="C92" s="75">
        <f t="shared" si="50"/>
        <v>0.38836333047080041</v>
      </c>
      <c r="D92" s="24">
        <f t="shared" ref="D92:D118" si="56">(B92+C92)</f>
        <v>0.97090832617700096</v>
      </c>
      <c r="H92" s="24">
        <f t="shared" ref="H92:H118" si="57">(E38*F38/G38*F$7/F$9)</f>
        <v>0.3575757575757576</v>
      </c>
      <c r="I92" s="22">
        <f t="shared" ref="I92:I118" si="58">(D92*H92)</f>
        <v>0.3471732802693519</v>
      </c>
      <c r="J92" s="24">
        <f t="shared" ref="J92:J118" si="59">IF(I$32&lt;=1+I$131,I92,L92+J$33*(I92-L92))</f>
        <v>0.36620786782393056</v>
      </c>
      <c r="K92" s="22">
        <f t="shared" ref="K92:K118" si="60">(B92)</f>
        <v>0.58254499570620055</v>
      </c>
      <c r="L92" s="22">
        <f t="shared" ref="L92:L118" si="61">(K92*H92)</f>
        <v>0.20830396816161112</v>
      </c>
      <c r="M92" s="225">
        <f t="shared" ref="M92:M118" si="62">(J92)</f>
        <v>0.36620786782393056</v>
      </c>
      <c r="N92" s="227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Sheep sales - local: no. sold</v>
      </c>
      <c r="B93" s="75">
        <f t="shared" si="50"/>
        <v>0.15534533218832017</v>
      </c>
      <c r="C93" s="75">
        <f t="shared" si="50"/>
        <v>0</v>
      </c>
      <c r="D93" s="24">
        <f t="shared" si="56"/>
        <v>0.15534533218832017</v>
      </c>
      <c r="H93" s="24">
        <f t="shared" si="57"/>
        <v>0.3575757575757576</v>
      </c>
      <c r="I93" s="22">
        <f t="shared" si="58"/>
        <v>5.5547724843096308E-2</v>
      </c>
      <c r="J93" s="24">
        <f t="shared" si="59"/>
        <v>5.5547724843096308E-2</v>
      </c>
      <c r="K93" s="22">
        <f t="shared" si="60"/>
        <v>0.15534533218832017</v>
      </c>
      <c r="L93" s="22">
        <f t="shared" si="61"/>
        <v>5.5547724843096308E-2</v>
      </c>
      <c r="M93" s="225">
        <f t="shared" si="62"/>
        <v>5.5547724843096308E-2</v>
      </c>
      <c r="N93" s="227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Chicken sales: no. sold</v>
      </c>
      <c r="B94" s="75">
        <f t="shared" si="50"/>
        <v>0.12621808240301013</v>
      </c>
      <c r="C94" s="75">
        <f t="shared" si="50"/>
        <v>0</v>
      </c>
      <c r="D94" s="24">
        <f t="shared" si="56"/>
        <v>0.12621808240301013</v>
      </c>
      <c r="H94" s="24">
        <f t="shared" si="57"/>
        <v>0.7151515151515152</v>
      </c>
      <c r="I94" s="22">
        <f t="shared" si="58"/>
        <v>9.0265052870031504E-2</v>
      </c>
      <c r="J94" s="24">
        <f t="shared" si="59"/>
        <v>9.0265052870031504E-2</v>
      </c>
      <c r="K94" s="22">
        <f t="shared" si="60"/>
        <v>0.12621808240301013</v>
      </c>
      <c r="L94" s="22">
        <f t="shared" si="61"/>
        <v>9.0265052870031504E-2</v>
      </c>
      <c r="M94" s="225">
        <f t="shared" si="62"/>
        <v>9.0265052870031504E-2</v>
      </c>
      <c r="N94" s="227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Maize: kg produced</v>
      </c>
      <c r="B95" s="75">
        <f t="shared" si="50"/>
        <v>0.23301799828248024</v>
      </c>
      <c r="C95" s="75">
        <f t="shared" si="50"/>
        <v>-0.23301799828248024</v>
      </c>
      <c r="D95" s="24">
        <f t="shared" si="56"/>
        <v>0</v>
      </c>
      <c r="H95" s="24">
        <f t="shared" si="57"/>
        <v>0.25454545454545457</v>
      </c>
      <c r="I95" s="22">
        <f t="shared" si="58"/>
        <v>0</v>
      </c>
      <c r="J95" s="24">
        <f t="shared" si="59"/>
        <v>-8.1300272267013918E-3</v>
      </c>
      <c r="K95" s="22">
        <f t="shared" si="60"/>
        <v>0.23301799828248024</v>
      </c>
      <c r="L95" s="22">
        <f t="shared" si="61"/>
        <v>5.9313672290085884E-2</v>
      </c>
      <c r="M95" s="225">
        <f t="shared" si="62"/>
        <v>-8.1300272267013918E-3</v>
      </c>
      <c r="N95" s="227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Beans: kg produced</v>
      </c>
      <c r="B96" s="75">
        <f t="shared" si="50"/>
        <v>1.6748168626553266</v>
      </c>
      <c r="C96" s="75">
        <f t="shared" si="50"/>
        <v>0</v>
      </c>
      <c r="D96" s="24">
        <f t="shared" si="56"/>
        <v>1.6748168626553266</v>
      </c>
      <c r="H96" s="24">
        <f t="shared" si="57"/>
        <v>0.16969696969696968</v>
      </c>
      <c r="I96" s="22">
        <f t="shared" si="58"/>
        <v>0.28421134638999479</v>
      </c>
      <c r="J96" s="24">
        <f t="shared" si="59"/>
        <v>0.28421134638999479</v>
      </c>
      <c r="K96" s="22">
        <f t="shared" si="60"/>
        <v>1.6748168626553266</v>
      </c>
      <c r="L96" s="22">
        <f t="shared" si="61"/>
        <v>0.28421134638999479</v>
      </c>
      <c r="M96" s="225">
        <f t="shared" si="62"/>
        <v>0.28421134638999479</v>
      </c>
      <c r="N96" s="227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potatoes: kg produced</v>
      </c>
      <c r="B97" s="75">
        <f t="shared" si="50"/>
        <v>0.24272708154425024</v>
      </c>
      <c r="C97" s="75">
        <f t="shared" si="50"/>
        <v>-0.24272708154425024</v>
      </c>
      <c r="D97" s="24">
        <f t="shared" si="56"/>
        <v>0</v>
      </c>
      <c r="H97" s="24">
        <f t="shared" si="57"/>
        <v>0.16969696969696968</v>
      </c>
      <c r="I97" s="22">
        <f t="shared" si="58"/>
        <v>0</v>
      </c>
      <c r="J97" s="24">
        <f t="shared" si="59"/>
        <v>-5.6458522407648593E-3</v>
      </c>
      <c r="K97" s="22">
        <f t="shared" si="60"/>
        <v>0.24272708154425024</v>
      </c>
      <c r="L97" s="22">
        <f t="shared" si="61"/>
        <v>4.1190050201448523E-2</v>
      </c>
      <c r="M97" s="225">
        <f t="shared" si="62"/>
        <v>-5.6458522407648593E-3</v>
      </c>
      <c r="N97" s="227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Agricultural cash income -- see Data2</v>
      </c>
      <c r="B98" s="75">
        <f t="shared" si="50"/>
        <v>0</v>
      </c>
      <c r="C98" s="75">
        <f t="shared" si="50"/>
        <v>0</v>
      </c>
      <c r="D98" s="24">
        <f t="shared" si="56"/>
        <v>0</v>
      </c>
      <c r="H98" s="24">
        <f t="shared" si="57"/>
        <v>0.33636363636363642</v>
      </c>
      <c r="I98" s="22">
        <f t="shared" si="58"/>
        <v>0</v>
      </c>
      <c r="J98" s="24">
        <f t="shared" si="59"/>
        <v>0</v>
      </c>
      <c r="K98" s="22">
        <f t="shared" si="60"/>
        <v>0</v>
      </c>
      <c r="L98" s="22">
        <f t="shared" si="61"/>
        <v>0</v>
      </c>
      <c r="M98" s="225">
        <f t="shared" si="62"/>
        <v>0</v>
      </c>
      <c r="N98" s="227">
        <v>6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Construction cash income -- see Data2</v>
      </c>
      <c r="B99" s="75">
        <f t="shared" si="50"/>
        <v>0</v>
      </c>
      <c r="C99" s="75">
        <f t="shared" si="50"/>
        <v>0</v>
      </c>
      <c r="D99" s="24">
        <f t="shared" si="56"/>
        <v>0</v>
      </c>
      <c r="H99" s="24">
        <f t="shared" si="57"/>
        <v>0.33636363636363642</v>
      </c>
      <c r="I99" s="22">
        <f t="shared" si="58"/>
        <v>0</v>
      </c>
      <c r="J99" s="24">
        <f t="shared" si="59"/>
        <v>0</v>
      </c>
      <c r="K99" s="22">
        <f t="shared" si="60"/>
        <v>0</v>
      </c>
      <c r="L99" s="22">
        <f t="shared" si="61"/>
        <v>0</v>
      </c>
      <c r="M99" s="225">
        <f t="shared" si="62"/>
        <v>0</v>
      </c>
      <c r="N99" s="227">
        <v>7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Domestic work cash income -- see Data2</v>
      </c>
      <c r="B100" s="75">
        <f t="shared" si="50"/>
        <v>0</v>
      </c>
      <c r="C100" s="75">
        <f t="shared" si="50"/>
        <v>0</v>
      </c>
      <c r="D100" s="24">
        <f t="shared" si="56"/>
        <v>0</v>
      </c>
      <c r="H100" s="24">
        <f t="shared" si="57"/>
        <v>0.33636363636363642</v>
      </c>
      <c r="I100" s="22">
        <f t="shared" si="58"/>
        <v>0</v>
      </c>
      <c r="J100" s="24">
        <f t="shared" si="59"/>
        <v>0</v>
      </c>
      <c r="K100" s="22">
        <f t="shared" si="60"/>
        <v>0</v>
      </c>
      <c r="L100" s="22">
        <f t="shared" si="61"/>
        <v>0</v>
      </c>
      <c r="M100" s="225">
        <f t="shared" si="62"/>
        <v>0</v>
      </c>
      <c r="N100" s="227">
        <v>7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Labour migration(formal employment): no. people per HH</v>
      </c>
      <c r="B101" s="75">
        <f t="shared" si="50"/>
        <v>1.8641439862598419</v>
      </c>
      <c r="C101" s="75">
        <f t="shared" si="50"/>
        <v>0</v>
      </c>
      <c r="D101" s="24">
        <f t="shared" si="56"/>
        <v>1.8641439862598419</v>
      </c>
      <c r="H101" s="24">
        <f t="shared" si="57"/>
        <v>0.28606060606060607</v>
      </c>
      <c r="I101" s="22">
        <f t="shared" si="58"/>
        <v>0.53325815849372449</v>
      </c>
      <c r="J101" s="24">
        <f t="shared" si="59"/>
        <v>0.53325815849372449</v>
      </c>
      <c r="K101" s="22">
        <f t="shared" si="60"/>
        <v>1.8641439862598419</v>
      </c>
      <c r="L101" s="22">
        <f t="shared" si="61"/>
        <v>0.53325815849372449</v>
      </c>
      <c r="M101" s="225">
        <f t="shared" si="62"/>
        <v>0.53325815849372449</v>
      </c>
      <c r="N101" s="227">
        <v>7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Small business -- see Data2</v>
      </c>
      <c r="B102" s="75">
        <f t="shared" si="50"/>
        <v>0</v>
      </c>
      <c r="C102" s="75">
        <f t="shared" si="50"/>
        <v>0</v>
      </c>
      <c r="D102" s="24">
        <f t="shared" si="56"/>
        <v>0</v>
      </c>
      <c r="H102" s="24">
        <f t="shared" si="57"/>
        <v>0.57212121212121214</v>
      </c>
      <c r="I102" s="22">
        <f t="shared" si="58"/>
        <v>0</v>
      </c>
      <c r="J102" s="24">
        <f t="shared" si="59"/>
        <v>0</v>
      </c>
      <c r="K102" s="22">
        <f t="shared" si="60"/>
        <v>0</v>
      </c>
      <c r="L102" s="22">
        <f t="shared" si="61"/>
        <v>0</v>
      </c>
      <c r="M102" s="225">
        <f t="shared" si="62"/>
        <v>0</v>
      </c>
      <c r="N102" s="227">
        <v>8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Social development -- see Data2</v>
      </c>
      <c r="B103" s="75">
        <f t="shared" si="50"/>
        <v>0.73983214454687474</v>
      </c>
      <c r="C103" s="75">
        <f t="shared" si="50"/>
        <v>0</v>
      </c>
      <c r="D103" s="24">
        <f t="shared" si="56"/>
        <v>0.73983214454687474</v>
      </c>
      <c r="H103" s="24">
        <f t="shared" si="57"/>
        <v>0</v>
      </c>
      <c r="I103" s="22">
        <f t="shared" si="58"/>
        <v>0</v>
      </c>
      <c r="J103" s="24">
        <f t="shared" si="59"/>
        <v>0</v>
      </c>
      <c r="K103" s="22">
        <f t="shared" si="60"/>
        <v>0.73983214454687474</v>
      </c>
      <c r="L103" s="22">
        <f t="shared" si="61"/>
        <v>0</v>
      </c>
      <c r="M103" s="225">
        <f t="shared" si="62"/>
        <v>0</v>
      </c>
      <c r="N103" s="227">
        <v>11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Public works -- see Data2</v>
      </c>
      <c r="B104" s="75">
        <f t="shared" si="50"/>
        <v>0</v>
      </c>
      <c r="C104" s="75">
        <f t="shared" si="50"/>
        <v>0</v>
      </c>
      <c r="D104" s="24">
        <f t="shared" si="56"/>
        <v>0</v>
      </c>
      <c r="H104" s="24">
        <f t="shared" si="57"/>
        <v>0.7151515151515152</v>
      </c>
      <c r="I104" s="22">
        <f t="shared" si="58"/>
        <v>0</v>
      </c>
      <c r="J104" s="24">
        <f t="shared" si="59"/>
        <v>0</v>
      </c>
      <c r="K104" s="22">
        <f t="shared" si="60"/>
        <v>0</v>
      </c>
      <c r="L104" s="22">
        <f t="shared" si="61"/>
        <v>0</v>
      </c>
      <c r="M104" s="225">
        <f t="shared" si="62"/>
        <v>0</v>
      </c>
      <c r="N104" s="227">
        <v>14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Gifts/social support: type (Child support, Pension and Foster Care)</v>
      </c>
      <c r="B105" s="75">
        <f t="shared" si="50"/>
        <v>0</v>
      </c>
      <c r="C105" s="75">
        <f t="shared" si="50"/>
        <v>0</v>
      </c>
      <c r="D105" s="24">
        <f t="shared" si="56"/>
        <v>0</v>
      </c>
      <c r="H105" s="24">
        <f t="shared" si="57"/>
        <v>0.60606060606060608</v>
      </c>
      <c r="I105" s="22">
        <f t="shared" si="58"/>
        <v>0</v>
      </c>
      <c r="J105" s="24">
        <f t="shared" si="59"/>
        <v>0</v>
      </c>
      <c r="K105" s="22">
        <f t="shared" si="60"/>
        <v>0</v>
      </c>
      <c r="L105" s="22">
        <f t="shared" si="61"/>
        <v>0</v>
      </c>
      <c r="M105" s="225">
        <f t="shared" si="62"/>
        <v>0</v>
      </c>
      <c r="N105" s="227">
        <v>9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Remittances: no. times per year</v>
      </c>
      <c r="B106" s="75">
        <f t="shared" si="50"/>
        <v>1.1650899914124011</v>
      </c>
      <c r="C106" s="75">
        <f t="shared" si="50"/>
        <v>0</v>
      </c>
      <c r="D106" s="24">
        <f t="shared" si="56"/>
        <v>1.1650899914124011</v>
      </c>
      <c r="H106" s="24">
        <f t="shared" si="57"/>
        <v>0.67272727272727284</v>
      </c>
      <c r="I106" s="22">
        <f t="shared" si="58"/>
        <v>0.7837878124047063</v>
      </c>
      <c r="J106" s="24">
        <f t="shared" si="59"/>
        <v>0.7837878124047063</v>
      </c>
      <c r="K106" s="22">
        <f t="shared" si="60"/>
        <v>1.1650899914124011</v>
      </c>
      <c r="L106" s="22">
        <f t="shared" si="61"/>
        <v>0.7837878124047063</v>
      </c>
      <c r="M106" s="225">
        <f t="shared" si="62"/>
        <v>0.7837878124047063</v>
      </c>
      <c r="N106" s="227">
        <v>15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/>
      </c>
      <c r="B107" s="75">
        <f t="shared" si="50"/>
        <v>0</v>
      </c>
      <c r="C107" s="75">
        <f t="shared" si="50"/>
        <v>0</v>
      </c>
      <c r="D107" s="24">
        <f t="shared" si="56"/>
        <v>0</v>
      </c>
      <c r="H107" s="24">
        <f t="shared" si="57"/>
        <v>0.60606060606060608</v>
      </c>
      <c r="I107" s="22">
        <f t="shared" si="58"/>
        <v>0</v>
      </c>
      <c r="J107" s="24">
        <f t="shared" si="59"/>
        <v>0</v>
      </c>
      <c r="K107" s="22">
        <f t="shared" si="60"/>
        <v>0</v>
      </c>
      <c r="L107" s="22">
        <f t="shared" si="61"/>
        <v>0</v>
      </c>
      <c r="M107" s="225">
        <f t="shared" si="62"/>
        <v>0</v>
      </c>
      <c r="N107" s="227">
        <v>15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/>
      </c>
      <c r="B108" s="75">
        <f t="shared" si="50"/>
        <v>0</v>
      </c>
      <c r="C108" s="75">
        <f t="shared" si="50"/>
        <v>0</v>
      </c>
      <c r="D108" s="24">
        <f t="shared" si="56"/>
        <v>0</v>
      </c>
      <c r="H108" s="24">
        <f t="shared" si="57"/>
        <v>0.60606060606060608</v>
      </c>
      <c r="I108" s="22">
        <f t="shared" si="58"/>
        <v>0</v>
      </c>
      <c r="J108" s="24">
        <f t="shared" si="59"/>
        <v>0</v>
      </c>
      <c r="K108" s="22">
        <f t="shared" si="60"/>
        <v>0</v>
      </c>
      <c r="L108" s="22">
        <f t="shared" si="61"/>
        <v>0</v>
      </c>
      <c r="M108" s="225">
        <f t="shared" si="62"/>
        <v>0</v>
      </c>
      <c r="N108" s="227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/>
      </c>
      <c r="B109" s="75">
        <f t="shared" si="50"/>
        <v>0</v>
      </c>
      <c r="C109" s="75">
        <f t="shared" si="50"/>
        <v>0</v>
      </c>
      <c r="D109" s="24">
        <f t="shared" si="56"/>
        <v>0</v>
      </c>
      <c r="H109" s="24">
        <f t="shared" si="57"/>
        <v>0.60606060606060608</v>
      </c>
      <c r="I109" s="22">
        <f t="shared" si="58"/>
        <v>0</v>
      </c>
      <c r="J109" s="24">
        <f t="shared" si="59"/>
        <v>0</v>
      </c>
      <c r="K109" s="22">
        <f t="shared" si="60"/>
        <v>0</v>
      </c>
      <c r="L109" s="22">
        <f t="shared" si="61"/>
        <v>0</v>
      </c>
      <c r="M109" s="225">
        <f t="shared" si="62"/>
        <v>0</v>
      </c>
      <c r="N109" s="227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/>
      </c>
      <c r="B110" s="75">
        <f t="shared" si="50"/>
        <v>0</v>
      </c>
      <c r="C110" s="75">
        <f t="shared" si="50"/>
        <v>0</v>
      </c>
      <c r="D110" s="24">
        <f t="shared" si="56"/>
        <v>0</v>
      </c>
      <c r="H110" s="24">
        <f t="shared" si="57"/>
        <v>0.60606060606060608</v>
      </c>
      <c r="I110" s="22">
        <f t="shared" si="58"/>
        <v>0</v>
      </c>
      <c r="J110" s="24">
        <f t="shared" si="59"/>
        <v>0</v>
      </c>
      <c r="K110" s="22">
        <f t="shared" si="60"/>
        <v>0</v>
      </c>
      <c r="L110" s="22">
        <f t="shared" si="61"/>
        <v>0</v>
      </c>
      <c r="M110" s="225">
        <f t="shared" si="62"/>
        <v>0</v>
      </c>
      <c r="N110" s="227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>
        <f t="shared" si="50"/>
        <v>0</v>
      </c>
      <c r="C111" s="75">
        <f t="shared" si="50"/>
        <v>0</v>
      </c>
      <c r="D111" s="24">
        <f t="shared" si="56"/>
        <v>0</v>
      </c>
      <c r="H111" s="24">
        <f t="shared" si="57"/>
        <v>0.60606060606060608</v>
      </c>
      <c r="I111" s="22">
        <f t="shared" si="58"/>
        <v>0</v>
      </c>
      <c r="J111" s="24">
        <f t="shared" si="59"/>
        <v>0</v>
      </c>
      <c r="K111" s="22">
        <f t="shared" si="60"/>
        <v>0</v>
      </c>
      <c r="L111" s="22">
        <f t="shared" si="61"/>
        <v>0</v>
      </c>
      <c r="M111" s="225">
        <f t="shared" si="62"/>
        <v>0</v>
      </c>
      <c r="N111" s="227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si="50"/>
        <v>0</v>
      </c>
      <c r="C112" s="75">
        <f t="shared" si="50"/>
        <v>0</v>
      </c>
      <c r="D112" s="24">
        <f t="shared" si="56"/>
        <v>0</v>
      </c>
      <c r="H112" s="24">
        <f t="shared" si="57"/>
        <v>0.60606060606060608</v>
      </c>
      <c r="I112" s="22">
        <f t="shared" si="58"/>
        <v>0</v>
      </c>
      <c r="J112" s="24">
        <f t="shared" si="59"/>
        <v>0</v>
      </c>
      <c r="K112" s="22">
        <f t="shared" si="60"/>
        <v>0</v>
      </c>
      <c r="L112" s="22">
        <f t="shared" si="61"/>
        <v>0</v>
      </c>
      <c r="M112" s="225">
        <f t="shared" si="62"/>
        <v>0</v>
      </c>
      <c r="N112" s="227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si="50"/>
        <v>0</v>
      </c>
      <c r="C113" s="75">
        <f t="shared" si="50"/>
        <v>0</v>
      </c>
      <c r="D113" s="24">
        <f t="shared" si="56"/>
        <v>0</v>
      </c>
      <c r="H113" s="24">
        <f t="shared" si="57"/>
        <v>0.60606060606060608</v>
      </c>
      <c r="I113" s="22">
        <f t="shared" si="58"/>
        <v>0</v>
      </c>
      <c r="J113" s="24">
        <f t="shared" si="59"/>
        <v>0</v>
      </c>
      <c r="K113" s="22">
        <f t="shared" si="60"/>
        <v>0</v>
      </c>
      <c r="L113" s="22">
        <f t="shared" si="61"/>
        <v>0</v>
      </c>
      <c r="M113" s="225">
        <f t="shared" si="62"/>
        <v>0</v>
      </c>
      <c r="N113" s="227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si="50"/>
        <v>0</v>
      </c>
      <c r="C114" s="75">
        <f t="shared" si="50"/>
        <v>0</v>
      </c>
      <c r="D114" s="24">
        <f t="shared" si="56"/>
        <v>0</v>
      </c>
      <c r="H114" s="24">
        <f t="shared" si="57"/>
        <v>0.60606060606060608</v>
      </c>
      <c r="I114" s="22">
        <f t="shared" si="58"/>
        <v>0</v>
      </c>
      <c r="J114" s="24">
        <f t="shared" si="59"/>
        <v>0</v>
      </c>
      <c r="K114" s="22">
        <f t="shared" si="60"/>
        <v>0</v>
      </c>
      <c r="L114" s="22">
        <f t="shared" si="61"/>
        <v>0</v>
      </c>
      <c r="M114" s="225">
        <f t="shared" si="62"/>
        <v>0</v>
      </c>
      <c r="N114" s="227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si="50"/>
        <v>0</v>
      </c>
      <c r="C115" s="75">
        <f t="shared" si="50"/>
        <v>0</v>
      </c>
      <c r="D115" s="24">
        <f t="shared" si="56"/>
        <v>0</v>
      </c>
      <c r="H115" s="24">
        <f t="shared" si="57"/>
        <v>0.60606060606060608</v>
      </c>
      <c r="I115" s="22">
        <f t="shared" si="58"/>
        <v>0</v>
      </c>
      <c r="J115" s="24">
        <f t="shared" si="59"/>
        <v>0</v>
      </c>
      <c r="K115" s="22">
        <f t="shared" si="60"/>
        <v>0</v>
      </c>
      <c r="L115" s="22">
        <f t="shared" si="61"/>
        <v>0</v>
      </c>
      <c r="M115" s="225">
        <f t="shared" si="62"/>
        <v>0</v>
      </c>
      <c r="N115" s="227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si="50"/>
        <v>0</v>
      </c>
      <c r="C116" s="75">
        <f t="shared" si="50"/>
        <v>0</v>
      </c>
      <c r="D116" s="24">
        <f t="shared" si="56"/>
        <v>0</v>
      </c>
      <c r="H116" s="24">
        <f t="shared" si="57"/>
        <v>0.60606060606060608</v>
      </c>
      <c r="I116" s="22">
        <f t="shared" si="58"/>
        <v>0</v>
      </c>
      <c r="J116" s="24">
        <f t="shared" si="59"/>
        <v>0</v>
      </c>
      <c r="K116" s="22">
        <f t="shared" si="60"/>
        <v>0</v>
      </c>
      <c r="L116" s="22">
        <f t="shared" si="61"/>
        <v>0</v>
      </c>
      <c r="M116" s="225">
        <f t="shared" si="62"/>
        <v>0</v>
      </c>
      <c r="N116" s="227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si="50"/>
        <v>0</v>
      </c>
      <c r="C117" s="75">
        <f t="shared" si="50"/>
        <v>0</v>
      </c>
      <c r="D117" s="24">
        <f t="shared" si="56"/>
        <v>0</v>
      </c>
      <c r="H117" s="24">
        <f t="shared" si="57"/>
        <v>0.60606060606060608</v>
      </c>
      <c r="I117" s="22">
        <f t="shared" si="58"/>
        <v>0</v>
      </c>
      <c r="J117" s="24">
        <f t="shared" si="59"/>
        <v>0</v>
      </c>
      <c r="K117" s="22">
        <f t="shared" si="60"/>
        <v>0</v>
      </c>
      <c r="L117" s="22">
        <f t="shared" si="61"/>
        <v>0</v>
      </c>
      <c r="M117" s="225">
        <f t="shared" si="62"/>
        <v>0</v>
      </c>
      <c r="N117" s="227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si="50"/>
        <v>0</v>
      </c>
      <c r="C118" s="75">
        <f t="shared" si="50"/>
        <v>0</v>
      </c>
      <c r="D118" s="24">
        <f t="shared" si="56"/>
        <v>0</v>
      </c>
      <c r="H118" s="24">
        <f t="shared" si="57"/>
        <v>0.60606060606060608</v>
      </c>
      <c r="I118" s="22">
        <f t="shared" si="58"/>
        <v>0</v>
      </c>
      <c r="J118" s="24">
        <f t="shared" si="59"/>
        <v>0</v>
      </c>
      <c r="K118" s="22">
        <f t="shared" si="60"/>
        <v>0</v>
      </c>
      <c r="L118" s="22">
        <f t="shared" si="61"/>
        <v>0</v>
      </c>
      <c r="M118" s="225">
        <f t="shared" si="62"/>
        <v>0</v>
      </c>
      <c r="N118" s="227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8.3371897968819066</v>
      </c>
      <c r="C119" s="22">
        <f>SUM(C91:C118)</f>
        <v>-8.7381749355930072E-2</v>
      </c>
      <c r="D119" s="24">
        <f>SUM(D91:D118)</f>
        <v>8.2498080475259776</v>
      </c>
      <c r="E119" s="22"/>
      <c r="F119" s="2"/>
      <c r="G119" s="2"/>
      <c r="H119" s="31"/>
      <c r="I119" s="22">
        <f>SUM(I91:I118)</f>
        <v>2.6497206237018682</v>
      </c>
      <c r="J119" s="24">
        <f>SUM(J91:J118)</f>
        <v>2.6549793317889807</v>
      </c>
      <c r="K119" s="22">
        <f>SUM(K91:K118)</f>
        <v>8.3371897968819066</v>
      </c>
      <c r="L119" s="22">
        <f>SUM(L91:L118)</f>
        <v>2.6113550340856619</v>
      </c>
      <c r="M119" s="57">
        <f t="shared" si="49"/>
        <v>2.6549793317889807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Middle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B70/B83</f>
        <v>1.2688663498045756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1.076613872561458</v>
      </c>
      <c r="J124" s="235">
        <f>IF(SUMPRODUCT($B$124:$B124,$H$124:$H124)&lt;J$119,($B124*$H124),J$119)</f>
        <v>1.076613872561458</v>
      </c>
      <c r="K124" s="22">
        <f>(B124)</f>
        <v>1.2688663498045756</v>
      </c>
      <c r="L124" s="29">
        <f>IF(SUMPRODUCT($B$124:$B124,$H$124:$H124)&lt;L$119,($B124*$H124),L$119)</f>
        <v>1.076613872561458</v>
      </c>
      <c r="M124" s="57">
        <f t="shared" si="63"/>
        <v>1.076613872561458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1.3234775030227426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0.94648694155565838</v>
      </c>
      <c r="J125" s="235">
        <f>IF(SUMPRODUCT($B$124:$B125,$H$124:$H125)&lt;J$119,($B125*$H125),IF(SUMPRODUCT($B$124:$B124,$H$124:$H124)&lt;J$119,J$119-SUMPRODUCT($B$124:$B124,$H$124:$H124),0))</f>
        <v>0.94648694155565838</v>
      </c>
      <c r="K125" s="22">
        <f t="shared" ref="K125:K126" si="64">(B125)</f>
        <v>1.3234775030227426</v>
      </c>
      <c r="L125" s="29">
        <f>IF(SUMPRODUCT($B$124:$B125,$H$124:$H125)&lt;L$119,($B125*$H125),IF(SUMPRODUCT($B$124:$B124,$H$124:$H124)&lt;L$119,L$119-SUMPRODUCT($B$124:$B124,$H$124:$H124),0))</f>
        <v>0.94648694155565838</v>
      </c>
      <c r="M125" s="57">
        <f t="shared" ref="M125:M126" si="65">(J125)</f>
        <v>0.94648694155565838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2.3569770526272875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5">
        <f>IF(SUMPRODUCT($B$124:$B126,$H$124:$H126)&lt;(J$119-J$128),($B126*$H126),IF(SUMPRODUCT($B$124:$B125,$H$124:$H125)&lt;(J$119-J$128),J$119-J$128-SUMPRODUCT($B$124:$B125,$H$124:$H125),0))</f>
        <v>0.3452157557715303</v>
      </c>
      <c r="K126" s="22">
        <f t="shared" si="64"/>
        <v>2.3569770526272875</v>
      </c>
      <c r="L126" s="29">
        <f>IF(SUMPRODUCT($B$124:$B126,$H$124:$H126)&lt;(L$119-L$128),($B126*$H126),IF(SUMPRODUCT($B$124:$B125,$H$124:$H125)&lt;(L$119-L$128),L$119-L$128-SUMPRODUCT($B$124:$B125,$H$124:$H125),0))</f>
        <v>0.47031672921461487</v>
      </c>
      <c r="M126" s="57">
        <f t="shared" si="65"/>
        <v>0.3452157557715303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2.0777438180187819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5">
        <f>IF(SUMPRODUCT($B$124:$B127,$H$124:$H127)&lt;(J$119-J$128),($B127*$H127),IF(SUMPRODUCT($B$124:$B126,$H$124:$H126)&lt;(J$119-J128),J$119-J$128-SUMPRODUCT($B$124:$B126,$H$124:$H126),0))</f>
        <v>0</v>
      </c>
      <c r="K127" s="22">
        <f>(B127)</f>
        <v>2.0777438180187819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57">
        <f t="shared" si="6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0.54316672549368428</v>
      </c>
      <c r="C128" s="2"/>
      <c r="D128" s="31"/>
      <c r="E128" s="2"/>
      <c r="F128" s="2"/>
      <c r="G128" s="2"/>
      <c r="H128" s="24"/>
      <c r="I128" s="29">
        <f>(I30)</f>
        <v>1.5731067511404102</v>
      </c>
      <c r="J128" s="226">
        <f>(J30)</f>
        <v>0.28666276190033435</v>
      </c>
      <c r="K128" s="22">
        <f>(B128)</f>
        <v>0.54316672549368428</v>
      </c>
      <c r="L128" s="22">
        <f>IF(L124=L119,0,(L119-L124)/(B119-B124)*K128)</f>
        <v>0.11793749075393085</v>
      </c>
      <c r="M128" s="57">
        <f t="shared" si="63"/>
        <v>0.28666276190033435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0.76695834791483519</v>
      </c>
      <c r="C129" s="2"/>
      <c r="D129" s="31"/>
      <c r="E129" s="2"/>
      <c r="F129" s="2"/>
      <c r="G129" s="2"/>
      <c r="H129" s="24"/>
      <c r="I129" s="29"/>
      <c r="J129" s="226">
        <f>IF(SUM(J124:J128)&gt;J130,0,J130-SUM(J124:J128))</f>
        <v>-4.4408920985006262E-16</v>
      </c>
      <c r="K129" s="29">
        <f>(B129)</f>
        <v>0.76695834791483519</v>
      </c>
      <c r="L129" s="60">
        <f>IF(SUM(L124:L128)&gt;L130,0,L130-SUM(L124:L128))</f>
        <v>0</v>
      </c>
      <c r="M129" s="57">
        <f t="shared" si="63"/>
        <v>-4.4408920985006262E-16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8.3371897968819066</v>
      </c>
      <c r="C130" s="2"/>
      <c r="D130" s="31"/>
      <c r="E130" s="2"/>
      <c r="F130" s="2"/>
      <c r="G130" s="2"/>
      <c r="H130" s="24"/>
      <c r="I130" s="29">
        <f>(I119)</f>
        <v>2.6497206237018682</v>
      </c>
      <c r="J130" s="226">
        <f>(J119)</f>
        <v>2.6549793317889807</v>
      </c>
      <c r="K130" s="22">
        <f>(B130)</f>
        <v>8.3371897968819066</v>
      </c>
      <c r="L130" s="22">
        <f>(L119)</f>
        <v>2.6113550340856619</v>
      </c>
      <c r="M130" s="57">
        <f t="shared" si="63"/>
        <v>2.6549793317889807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0.94648694155565849</v>
      </c>
      <c r="J131" s="235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0.47617021234104362</v>
      </c>
      <c r="M131" s="235">
        <f>IF(I131&lt;SUM(M126:M127),0,I131-(SUM(M126:M127)))</f>
        <v>0.60127118578412819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501" priority="196" operator="equal">
      <formula>16</formula>
    </cfRule>
    <cfRule type="cellIs" dxfId="500" priority="197" operator="equal">
      <formula>15</formula>
    </cfRule>
    <cfRule type="cellIs" dxfId="499" priority="198" operator="equal">
      <formula>14</formula>
    </cfRule>
    <cfRule type="cellIs" dxfId="498" priority="199" operator="equal">
      <formula>13</formula>
    </cfRule>
    <cfRule type="cellIs" dxfId="497" priority="200" operator="equal">
      <formula>12</formula>
    </cfRule>
    <cfRule type="cellIs" dxfId="496" priority="201" operator="equal">
      <formula>11</formula>
    </cfRule>
    <cfRule type="cellIs" dxfId="495" priority="202" operator="equal">
      <formula>10</formula>
    </cfRule>
    <cfRule type="cellIs" dxfId="494" priority="203" operator="equal">
      <formula>9</formula>
    </cfRule>
    <cfRule type="cellIs" dxfId="493" priority="204" operator="equal">
      <formula>8</formula>
    </cfRule>
    <cfRule type="cellIs" dxfId="492" priority="205" operator="equal">
      <formula>7</formula>
    </cfRule>
    <cfRule type="cellIs" dxfId="491" priority="206" operator="equal">
      <formula>6</formula>
    </cfRule>
    <cfRule type="cellIs" dxfId="490" priority="207" operator="equal">
      <formula>5</formula>
    </cfRule>
    <cfRule type="cellIs" dxfId="489" priority="208" operator="equal">
      <formula>4</formula>
    </cfRule>
    <cfRule type="cellIs" dxfId="488" priority="209" operator="equal">
      <formula>3</formula>
    </cfRule>
    <cfRule type="cellIs" dxfId="487" priority="210" operator="equal">
      <formula>2</formula>
    </cfRule>
    <cfRule type="cellIs" dxfId="486" priority="211" operator="equal">
      <formula>1</formula>
    </cfRule>
  </conditionalFormatting>
  <conditionalFormatting sqref="N29">
    <cfRule type="cellIs" dxfId="485" priority="180" operator="equal">
      <formula>16</formula>
    </cfRule>
    <cfRule type="cellIs" dxfId="484" priority="181" operator="equal">
      <formula>15</formula>
    </cfRule>
    <cfRule type="cellIs" dxfId="483" priority="182" operator="equal">
      <formula>14</formula>
    </cfRule>
    <cfRule type="cellIs" dxfId="482" priority="183" operator="equal">
      <formula>13</formula>
    </cfRule>
    <cfRule type="cellIs" dxfId="481" priority="184" operator="equal">
      <formula>12</formula>
    </cfRule>
    <cfRule type="cellIs" dxfId="480" priority="185" operator="equal">
      <formula>11</formula>
    </cfRule>
    <cfRule type="cellIs" dxfId="479" priority="186" operator="equal">
      <formula>10</formula>
    </cfRule>
    <cfRule type="cellIs" dxfId="478" priority="187" operator="equal">
      <formula>9</formula>
    </cfRule>
    <cfRule type="cellIs" dxfId="477" priority="188" operator="equal">
      <formula>8</formula>
    </cfRule>
    <cfRule type="cellIs" dxfId="476" priority="189" operator="equal">
      <formula>7</formula>
    </cfRule>
    <cfRule type="cellIs" dxfId="475" priority="190" operator="equal">
      <formula>6</formula>
    </cfRule>
    <cfRule type="cellIs" dxfId="474" priority="191" operator="equal">
      <formula>5</formula>
    </cfRule>
    <cfRule type="cellIs" dxfId="473" priority="192" operator="equal">
      <formula>4</formula>
    </cfRule>
    <cfRule type="cellIs" dxfId="472" priority="193" operator="equal">
      <formula>3</formula>
    </cfRule>
    <cfRule type="cellIs" dxfId="471" priority="194" operator="equal">
      <formula>2</formula>
    </cfRule>
    <cfRule type="cellIs" dxfId="470" priority="195" operator="equal">
      <formula>1</formula>
    </cfRule>
  </conditionalFormatting>
  <conditionalFormatting sqref="N113:N118">
    <cfRule type="cellIs" dxfId="469" priority="132" operator="equal">
      <formula>16</formula>
    </cfRule>
    <cfRule type="cellIs" dxfId="468" priority="133" operator="equal">
      <formula>15</formula>
    </cfRule>
    <cfRule type="cellIs" dxfId="467" priority="134" operator="equal">
      <formula>14</formula>
    </cfRule>
    <cfRule type="cellIs" dxfId="466" priority="135" operator="equal">
      <formula>13</formula>
    </cfRule>
    <cfRule type="cellIs" dxfId="465" priority="136" operator="equal">
      <formula>12</formula>
    </cfRule>
    <cfRule type="cellIs" dxfId="464" priority="137" operator="equal">
      <formula>11</formula>
    </cfRule>
    <cfRule type="cellIs" dxfId="463" priority="138" operator="equal">
      <formula>10</formula>
    </cfRule>
    <cfRule type="cellIs" dxfId="462" priority="139" operator="equal">
      <formula>9</formula>
    </cfRule>
    <cfRule type="cellIs" dxfId="461" priority="140" operator="equal">
      <formula>8</formula>
    </cfRule>
    <cfRule type="cellIs" dxfId="460" priority="141" operator="equal">
      <formula>7</formula>
    </cfRule>
    <cfRule type="cellIs" dxfId="459" priority="142" operator="equal">
      <formula>6</formula>
    </cfRule>
    <cfRule type="cellIs" dxfId="458" priority="143" operator="equal">
      <formula>5</formula>
    </cfRule>
    <cfRule type="cellIs" dxfId="457" priority="144" operator="equal">
      <formula>4</formula>
    </cfRule>
    <cfRule type="cellIs" dxfId="456" priority="145" operator="equal">
      <formula>3</formula>
    </cfRule>
    <cfRule type="cellIs" dxfId="455" priority="146" operator="equal">
      <formula>2</formula>
    </cfRule>
    <cfRule type="cellIs" dxfId="454" priority="147" operator="equal">
      <formula>1</formula>
    </cfRule>
  </conditionalFormatting>
  <conditionalFormatting sqref="N27:N28">
    <cfRule type="cellIs" dxfId="453" priority="116" operator="equal">
      <formula>16</formula>
    </cfRule>
    <cfRule type="cellIs" dxfId="452" priority="117" operator="equal">
      <formula>15</formula>
    </cfRule>
    <cfRule type="cellIs" dxfId="451" priority="118" operator="equal">
      <formula>14</formula>
    </cfRule>
    <cfRule type="cellIs" dxfId="450" priority="119" operator="equal">
      <formula>13</formula>
    </cfRule>
    <cfRule type="cellIs" dxfId="449" priority="120" operator="equal">
      <formula>12</formula>
    </cfRule>
    <cfRule type="cellIs" dxfId="448" priority="121" operator="equal">
      <formula>11</formula>
    </cfRule>
    <cfRule type="cellIs" dxfId="447" priority="122" operator="equal">
      <formula>10</formula>
    </cfRule>
    <cfRule type="cellIs" dxfId="446" priority="123" operator="equal">
      <formula>9</formula>
    </cfRule>
    <cfRule type="cellIs" dxfId="445" priority="124" operator="equal">
      <formula>8</formula>
    </cfRule>
    <cfRule type="cellIs" dxfId="444" priority="125" operator="equal">
      <formula>7</formula>
    </cfRule>
    <cfRule type="cellIs" dxfId="443" priority="126" operator="equal">
      <formula>6</formula>
    </cfRule>
    <cfRule type="cellIs" dxfId="442" priority="127" operator="equal">
      <formula>5</formula>
    </cfRule>
    <cfRule type="cellIs" dxfId="441" priority="128" operator="equal">
      <formula>4</formula>
    </cfRule>
    <cfRule type="cellIs" dxfId="440" priority="129" operator="equal">
      <formula>3</formula>
    </cfRule>
    <cfRule type="cellIs" dxfId="439" priority="130" operator="equal">
      <formula>2</formula>
    </cfRule>
    <cfRule type="cellIs" dxfId="438" priority="131" operator="equal">
      <formula>1</formula>
    </cfRule>
  </conditionalFormatting>
  <conditionalFormatting sqref="N112">
    <cfRule type="cellIs" dxfId="437" priority="84" operator="equal">
      <formula>16</formula>
    </cfRule>
    <cfRule type="cellIs" dxfId="436" priority="85" operator="equal">
      <formula>15</formula>
    </cfRule>
    <cfRule type="cellIs" dxfId="435" priority="86" operator="equal">
      <formula>14</formula>
    </cfRule>
    <cfRule type="cellIs" dxfId="434" priority="87" operator="equal">
      <formula>13</formula>
    </cfRule>
    <cfRule type="cellIs" dxfId="433" priority="88" operator="equal">
      <formula>12</formula>
    </cfRule>
    <cfRule type="cellIs" dxfId="432" priority="89" operator="equal">
      <formula>11</formula>
    </cfRule>
    <cfRule type="cellIs" dxfId="431" priority="90" operator="equal">
      <formula>10</formula>
    </cfRule>
    <cfRule type="cellIs" dxfId="430" priority="91" operator="equal">
      <formula>9</formula>
    </cfRule>
    <cfRule type="cellIs" dxfId="429" priority="92" operator="equal">
      <formula>8</formula>
    </cfRule>
    <cfRule type="cellIs" dxfId="428" priority="93" operator="equal">
      <formula>7</formula>
    </cfRule>
    <cfRule type="cellIs" dxfId="427" priority="94" operator="equal">
      <formula>6</formula>
    </cfRule>
    <cfRule type="cellIs" dxfId="426" priority="95" operator="equal">
      <formula>5</formula>
    </cfRule>
    <cfRule type="cellIs" dxfId="425" priority="96" operator="equal">
      <formula>4</formula>
    </cfRule>
    <cfRule type="cellIs" dxfId="424" priority="97" operator="equal">
      <formula>3</formula>
    </cfRule>
    <cfRule type="cellIs" dxfId="423" priority="98" operator="equal">
      <formula>2</formula>
    </cfRule>
    <cfRule type="cellIs" dxfId="422" priority="99" operator="equal">
      <formula>1</formula>
    </cfRule>
  </conditionalFormatting>
  <conditionalFormatting sqref="N91:N104">
    <cfRule type="cellIs" dxfId="421" priority="68" operator="equal">
      <formula>16</formula>
    </cfRule>
    <cfRule type="cellIs" dxfId="420" priority="69" operator="equal">
      <formula>15</formula>
    </cfRule>
    <cfRule type="cellIs" dxfId="419" priority="70" operator="equal">
      <formula>14</formula>
    </cfRule>
    <cfRule type="cellIs" dxfId="418" priority="71" operator="equal">
      <formula>13</formula>
    </cfRule>
    <cfRule type="cellIs" dxfId="417" priority="72" operator="equal">
      <formula>12</formula>
    </cfRule>
    <cfRule type="cellIs" dxfId="416" priority="73" operator="equal">
      <formula>11</formula>
    </cfRule>
    <cfRule type="cellIs" dxfId="415" priority="74" operator="equal">
      <formula>10</formula>
    </cfRule>
    <cfRule type="cellIs" dxfId="414" priority="75" operator="equal">
      <formula>9</formula>
    </cfRule>
    <cfRule type="cellIs" dxfId="413" priority="76" operator="equal">
      <formula>8</formula>
    </cfRule>
    <cfRule type="cellIs" dxfId="412" priority="77" operator="equal">
      <formula>7</formula>
    </cfRule>
    <cfRule type="cellIs" dxfId="411" priority="78" operator="equal">
      <formula>6</formula>
    </cfRule>
    <cfRule type="cellIs" dxfId="410" priority="79" operator="equal">
      <formula>5</formula>
    </cfRule>
    <cfRule type="cellIs" dxfId="409" priority="80" operator="equal">
      <formula>4</formula>
    </cfRule>
    <cfRule type="cellIs" dxfId="408" priority="81" operator="equal">
      <formula>3</formula>
    </cfRule>
    <cfRule type="cellIs" dxfId="407" priority="82" operator="equal">
      <formula>2</formula>
    </cfRule>
    <cfRule type="cellIs" dxfId="406" priority="83" operator="equal">
      <formula>1</formula>
    </cfRule>
  </conditionalFormatting>
  <conditionalFormatting sqref="N105:N111">
    <cfRule type="cellIs" dxfId="405" priority="52" operator="equal">
      <formula>16</formula>
    </cfRule>
    <cfRule type="cellIs" dxfId="404" priority="53" operator="equal">
      <formula>15</formula>
    </cfRule>
    <cfRule type="cellIs" dxfId="403" priority="54" operator="equal">
      <formula>14</formula>
    </cfRule>
    <cfRule type="cellIs" dxfId="402" priority="55" operator="equal">
      <formula>13</formula>
    </cfRule>
    <cfRule type="cellIs" dxfId="401" priority="56" operator="equal">
      <formula>12</formula>
    </cfRule>
    <cfRule type="cellIs" dxfId="400" priority="57" operator="equal">
      <formula>11</formula>
    </cfRule>
    <cfRule type="cellIs" dxfId="399" priority="58" operator="equal">
      <formula>10</formula>
    </cfRule>
    <cfRule type="cellIs" dxfId="398" priority="59" operator="equal">
      <formula>9</formula>
    </cfRule>
    <cfRule type="cellIs" dxfId="397" priority="60" operator="equal">
      <formula>8</formula>
    </cfRule>
    <cfRule type="cellIs" dxfId="396" priority="61" operator="equal">
      <formula>7</formula>
    </cfRule>
    <cfRule type="cellIs" dxfId="395" priority="62" operator="equal">
      <formula>6</formula>
    </cfRule>
    <cfRule type="cellIs" dxfId="394" priority="63" operator="equal">
      <formula>5</formula>
    </cfRule>
    <cfRule type="cellIs" dxfId="393" priority="64" operator="equal">
      <formula>4</formula>
    </cfRule>
    <cfRule type="cellIs" dxfId="392" priority="65" operator="equal">
      <formula>3</formula>
    </cfRule>
    <cfRule type="cellIs" dxfId="391" priority="66" operator="equal">
      <formula>2</formula>
    </cfRule>
    <cfRule type="cellIs" dxfId="390" priority="67" operator="equal">
      <formula>1</formula>
    </cfRule>
  </conditionalFormatting>
  <conditionalFormatting sqref="N6:N26">
    <cfRule type="cellIs" dxfId="389" priority="36" operator="equal">
      <formula>16</formula>
    </cfRule>
    <cfRule type="cellIs" dxfId="388" priority="37" operator="equal">
      <formula>15</formula>
    </cfRule>
    <cfRule type="cellIs" dxfId="387" priority="38" operator="equal">
      <formula>14</formula>
    </cfRule>
    <cfRule type="cellIs" dxfId="386" priority="39" operator="equal">
      <formula>13</formula>
    </cfRule>
    <cfRule type="cellIs" dxfId="385" priority="40" operator="equal">
      <formula>12</formula>
    </cfRule>
    <cfRule type="cellIs" dxfId="384" priority="41" operator="equal">
      <formula>11</formula>
    </cfRule>
    <cfRule type="cellIs" dxfId="383" priority="42" operator="equal">
      <formula>10</formula>
    </cfRule>
    <cfRule type="cellIs" dxfId="382" priority="43" operator="equal">
      <formula>9</formula>
    </cfRule>
    <cfRule type="cellIs" dxfId="381" priority="44" operator="equal">
      <formula>8</formula>
    </cfRule>
    <cfRule type="cellIs" dxfId="380" priority="45" operator="equal">
      <formula>7</formula>
    </cfRule>
    <cfRule type="cellIs" dxfId="379" priority="46" operator="equal">
      <formula>6</formula>
    </cfRule>
    <cfRule type="cellIs" dxfId="378" priority="47" operator="equal">
      <formula>5</formula>
    </cfRule>
    <cfRule type="cellIs" dxfId="377" priority="48" operator="equal">
      <formula>4</formula>
    </cfRule>
    <cfRule type="cellIs" dxfId="376" priority="49" operator="equal">
      <formula>3</formula>
    </cfRule>
    <cfRule type="cellIs" dxfId="375" priority="50" operator="equal">
      <formula>2</formula>
    </cfRule>
    <cfRule type="cellIs" dxfId="374" priority="51" operator="equal">
      <formula>1</formula>
    </cfRule>
  </conditionalFormatting>
  <conditionalFormatting sqref="R31:T31">
    <cfRule type="cellIs" dxfId="373" priority="35" operator="greaterThan">
      <formula>0</formula>
    </cfRule>
  </conditionalFormatting>
  <conditionalFormatting sqref="R32:T32">
    <cfRule type="cellIs" dxfId="372" priority="34" operator="greaterThan">
      <formula>0</formula>
    </cfRule>
  </conditionalFormatting>
  <conditionalFormatting sqref="R30:T30">
    <cfRule type="cellIs" dxfId="371" priority="33" operator="greaterThan">
      <formula>0</formula>
    </cfRule>
  </conditionalFormatting>
  <conditionalFormatting sqref="N37:N50">
    <cfRule type="cellIs" dxfId="127" priority="17" operator="equal">
      <formula>16</formula>
    </cfRule>
    <cfRule type="cellIs" dxfId="126" priority="18" operator="equal">
      <formula>15</formula>
    </cfRule>
    <cfRule type="cellIs" dxfId="125" priority="19" operator="equal">
      <formula>14</formula>
    </cfRule>
    <cfRule type="cellIs" dxfId="124" priority="20" operator="equal">
      <formula>13</formula>
    </cfRule>
    <cfRule type="cellIs" dxfId="123" priority="21" operator="equal">
      <formula>12</formula>
    </cfRule>
    <cfRule type="cellIs" dxfId="122" priority="22" operator="equal">
      <formula>11</formula>
    </cfRule>
    <cfRule type="cellIs" dxfId="121" priority="23" operator="equal">
      <formula>10</formula>
    </cfRule>
    <cfRule type="cellIs" dxfId="120" priority="24" operator="equal">
      <formula>9</formula>
    </cfRule>
    <cfRule type="cellIs" dxfId="119" priority="25" operator="equal">
      <formula>8</formula>
    </cfRule>
    <cfRule type="cellIs" dxfId="118" priority="26" operator="equal">
      <formula>7</formula>
    </cfRule>
    <cfRule type="cellIs" dxfId="117" priority="27" operator="equal">
      <formula>6</formula>
    </cfRule>
    <cfRule type="cellIs" dxfId="116" priority="28" operator="equal">
      <formula>5</formula>
    </cfRule>
    <cfRule type="cellIs" dxfId="115" priority="29" operator="equal">
      <formula>4</formula>
    </cfRule>
    <cfRule type="cellIs" dxfId="114" priority="30" operator="equal">
      <formula>3</formula>
    </cfRule>
    <cfRule type="cellIs" dxfId="113" priority="31" operator="equal">
      <formula>2</formula>
    </cfRule>
    <cfRule type="cellIs" dxfId="112" priority="32" operator="equal">
      <formula>1</formula>
    </cfRule>
  </conditionalFormatting>
  <conditionalFormatting sqref="N51:N52">
    <cfRule type="cellIs" dxfId="95" priority="1" operator="equal">
      <formula>16</formula>
    </cfRule>
    <cfRule type="cellIs" dxfId="94" priority="2" operator="equal">
      <formula>15</formula>
    </cfRule>
    <cfRule type="cellIs" dxfId="93" priority="3" operator="equal">
      <formula>14</formula>
    </cfRule>
    <cfRule type="cellIs" dxfId="92" priority="4" operator="equal">
      <formula>13</formula>
    </cfRule>
    <cfRule type="cellIs" dxfId="91" priority="5" operator="equal">
      <formula>12</formula>
    </cfRule>
    <cfRule type="cellIs" dxfId="90" priority="6" operator="equal">
      <formula>11</formula>
    </cfRule>
    <cfRule type="cellIs" dxfId="89" priority="7" operator="equal">
      <formula>10</formula>
    </cfRule>
    <cfRule type="cellIs" dxfId="88" priority="8" operator="equal">
      <formula>9</formula>
    </cfRule>
    <cfRule type="cellIs" dxfId="87" priority="9" operator="equal">
      <formula>8</formula>
    </cfRule>
    <cfRule type="cellIs" dxfId="86" priority="10" operator="equal">
      <formula>7</formula>
    </cfRule>
    <cfRule type="cellIs" dxfId="85" priority="11" operator="equal">
      <formula>6</formula>
    </cfRule>
    <cfRule type="cellIs" dxfId="84" priority="12" operator="equal">
      <formula>5</formula>
    </cfRule>
    <cfRule type="cellIs" dxfId="83" priority="13" operator="equal">
      <formula>4</formula>
    </cfRule>
    <cfRule type="cellIs" dxfId="82" priority="14" operator="equal">
      <formula>3</formula>
    </cfRule>
    <cfRule type="cellIs" dxfId="81" priority="15" operator="equal">
      <formula>2</formula>
    </cfRule>
    <cfRule type="cellIs" dxfId="80" priority="16" operator="equal">
      <formula>1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K24" activePane="bottomRight" state="frozen"/>
      <selection pane="topRight" activeCell="B1" sqref="B1"/>
      <selection pane="bottomLeft" activeCell="A3" sqref="A3"/>
      <selection pane="bottomRight" activeCell="Q48" sqref="Q48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ZAKHC: 59208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2" t="str">
        <f>Poor!Z2</f>
        <v>Q1</v>
      </c>
      <c r="AA2" s="253"/>
      <c r="AB2" s="252" t="str">
        <f>Poor!AB2</f>
        <v>Q2</v>
      </c>
      <c r="AC2" s="253"/>
      <c r="AD2" s="252" t="str">
        <f>Poor!AD2</f>
        <v>Q3</v>
      </c>
      <c r="AE2" s="253"/>
      <c r="AF2" s="252" t="str">
        <f>Poor!AF2</f>
        <v>Q4</v>
      </c>
      <c r="AG2" s="253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49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IF(Poor!A6=0,"",Poor!A6)</f>
        <v>Cows' milk - season 1</v>
      </c>
      <c r="B6" s="101">
        <f>IF([1]Summ!$J1044="",0,[1]Summ!$J1044)</f>
        <v>8.4480074719800749E-2</v>
      </c>
      <c r="C6" s="102">
        <f>IF([1]Summ!$K1044="",0,[1]Summ!$K1044)</f>
        <v>0</v>
      </c>
      <c r="D6" s="24">
        <f t="shared" ref="D6:D29" si="0">(B6+C6)</f>
        <v>8.4480074719800749E-2</v>
      </c>
      <c r="E6" s="75">
        <f>Middle!E6</f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1.689601494396015E-2</v>
      </c>
      <c r="J6" s="24">
        <f t="shared" ref="J6:J13" si="3">IF(I$32&lt;=1+I$131,I6,B6*H6+J$33*(I6-B6*H6))</f>
        <v>1.689601494396015E-2</v>
      </c>
      <c r="K6" s="22">
        <f t="shared" ref="K6:K31" si="4">B6</f>
        <v>8.4480074719800749E-2</v>
      </c>
      <c r="L6" s="22">
        <f t="shared" ref="L6:L29" si="5">IF(K6="","",K6*H6)</f>
        <v>1.689601494396015E-2</v>
      </c>
      <c r="M6" s="177">
        <f t="shared" ref="M6:M31" si="6">J6</f>
        <v>1.689601494396015E-2</v>
      </c>
      <c r="N6" s="227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6.7584059775840602E-2</v>
      </c>
      <c r="Z6" s="156">
        <f>Poor!Z6</f>
        <v>0.17</v>
      </c>
      <c r="AA6" s="121">
        <f>$M6*Z6*4</f>
        <v>1.1489290161892903E-2</v>
      </c>
      <c r="AB6" s="156">
        <f>Poor!AB6</f>
        <v>0.17</v>
      </c>
      <c r="AC6" s="121">
        <f t="shared" ref="AC6:AC29" si="7">$M6*AB6*4</f>
        <v>1.1489290161892903E-2</v>
      </c>
      <c r="AD6" s="156">
        <f>Poor!AD6</f>
        <v>0.33</v>
      </c>
      <c r="AE6" s="121">
        <f t="shared" ref="AE6:AE29" si="8">$M6*AD6*4</f>
        <v>2.23027397260274E-2</v>
      </c>
      <c r="AF6" s="122">
        <f>1-SUM(Z6,AB6,AD6)</f>
        <v>0.32999999999999996</v>
      </c>
      <c r="AG6" s="121">
        <f>$M6*AF6*4</f>
        <v>2.2302739726027396E-2</v>
      </c>
      <c r="AH6" s="123">
        <f>SUM(Z6,AB6,AD6,AF6)</f>
        <v>1</v>
      </c>
      <c r="AI6" s="183">
        <f>SUM(AA6,AC6,AE6,AG6)/4</f>
        <v>1.689601494396015E-2</v>
      </c>
      <c r="AJ6" s="120">
        <f>(AA6+AC6)/2</f>
        <v>1.1489290161892903E-2</v>
      </c>
      <c r="AK6" s="119">
        <f>(AE6+AG6)/2</f>
        <v>2.23027397260274E-2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IF(Poor!A7=0,"",Poor!A7)</f>
        <v>Own meat</v>
      </c>
      <c r="B7" s="101">
        <f>IF([1]Summ!$J1045="",0,[1]Summ!$J1045)</f>
        <v>8.816459682440847E-2</v>
      </c>
      <c r="C7" s="102">
        <f>IF([1]Summ!$K1045="",0,[1]Summ!$K1045)</f>
        <v>0</v>
      </c>
      <c r="D7" s="24">
        <f t="shared" si="0"/>
        <v>8.816459682440847E-2</v>
      </c>
      <c r="E7" s="75">
        <f>Middle!E7</f>
        <v>0.2</v>
      </c>
      <c r="F7" s="27">
        <v>8800</v>
      </c>
      <c r="H7" s="24">
        <f t="shared" si="1"/>
        <v>0.2</v>
      </c>
      <c r="I7" s="22">
        <f t="shared" si="2"/>
        <v>1.7632919364881695E-2</v>
      </c>
      <c r="J7" s="24">
        <f t="shared" si="3"/>
        <v>1.7632919364881695E-2</v>
      </c>
      <c r="K7" s="22">
        <f t="shared" si="4"/>
        <v>8.816459682440847E-2</v>
      </c>
      <c r="L7" s="22">
        <f t="shared" si="5"/>
        <v>1.7632919364881695E-2</v>
      </c>
      <c r="M7" s="177">
        <f t="shared" si="6"/>
        <v>1.7632919364881695E-2</v>
      </c>
      <c r="N7" s="227">
        <v>3</v>
      </c>
      <c r="O7" s="2"/>
      <c r="P7" s="22"/>
      <c r="Q7" s="59" t="s">
        <v>71</v>
      </c>
      <c r="R7" s="220">
        <f>IF($B$81=0,0,(SUMIF($N$6:$N$28,$U7,K$6:K$28)+SUMIF($N$91:$N$118,$U7,K$91:K$118))*$B$83*$H$84*Poor!$B$81/$B$81)</f>
        <v>2609.8430257697223</v>
      </c>
      <c r="S7" s="220">
        <f>IF($B$81=0,0,(SUMIF($N$6:$N$28,$U7,L$6:L$28)+SUMIF($N$91:$N$118,$U7,L$91:L$118))*$I$83*Poor!$B$81/$B$81)</f>
        <v>691.02760809439474</v>
      </c>
      <c r="T7" s="220">
        <f>IF($B$81=0,0,(SUMIF($N$6:$N$28,$U7,M$6:M$28)+SUMIF($N$91:$N$118,$U7,M$91:M$118))*$I$83*Poor!$B$81/$B$81)</f>
        <v>926.40555153396406</v>
      </c>
      <c r="U7" s="221">
        <v>1</v>
      </c>
      <c r="V7" s="56"/>
      <c r="W7" s="115"/>
      <c r="X7" s="118">
        <f>Poor!X7</f>
        <v>4</v>
      </c>
      <c r="Y7" s="183">
        <f t="shared" ref="Y7:Y29" si="9">M7*4</f>
        <v>7.0531677459526779E-2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7.0531677459526779E-2</v>
      </c>
      <c r="AH7" s="123">
        <f t="shared" ref="AH7:AH30" si="12">SUM(Z7,AB7,AD7,AF7)</f>
        <v>1</v>
      </c>
      <c r="AI7" s="183">
        <f t="shared" ref="AI7:AI30" si="13">SUM(AA7,AC7,AE7,AG7)/4</f>
        <v>1.7632919364881695E-2</v>
      </c>
      <c r="AJ7" s="120">
        <f t="shared" ref="AJ7:AJ31" si="14">(AA7+AC7)/2</f>
        <v>0</v>
      </c>
      <c r="AK7" s="119">
        <f t="shared" ref="AK7:AK31" si="15">(AE7+AG7)/2</f>
        <v>3.5265838729763389E-2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IF(Poor!A8=0,"",Poor!A8)</f>
        <v>Maize: kg produced</v>
      </c>
      <c r="B8" s="101">
        <f>IF([1]Summ!$J1046="",0,[1]Summ!$J1046)</f>
        <v>5.9145719178082187E-2</v>
      </c>
      <c r="C8" s="102">
        <f>IF([1]Summ!$K1046="",0,[1]Summ!$K1046)</f>
        <v>0.8871857876712328</v>
      </c>
      <c r="D8" s="24">
        <f t="shared" si="0"/>
        <v>0.946331506849315</v>
      </c>
      <c r="E8" s="75">
        <f>Middle!E8</f>
        <v>0.3</v>
      </c>
      <c r="F8" s="22" t="s">
        <v>23</v>
      </c>
      <c r="H8" s="24">
        <f t="shared" si="1"/>
        <v>0.3</v>
      </c>
      <c r="I8" s="22">
        <f t="shared" si="2"/>
        <v>0.2838994520547945</v>
      </c>
      <c r="J8" s="24">
        <f t="shared" si="3"/>
        <v>2.9347211928502783E-2</v>
      </c>
      <c r="K8" s="22">
        <f t="shared" si="4"/>
        <v>5.9145719178082187E-2</v>
      </c>
      <c r="L8" s="22">
        <f t="shared" si="5"/>
        <v>1.7743715753424656E-2</v>
      </c>
      <c r="M8" s="222">
        <f t="shared" si="6"/>
        <v>2.9347211928502783E-2</v>
      </c>
      <c r="N8" s="227">
        <v>1</v>
      </c>
      <c r="O8" s="2"/>
      <c r="P8" s="22"/>
      <c r="Q8" s="59" t="s">
        <v>72</v>
      </c>
      <c r="R8" s="220">
        <f>IF($B$81=0,0,(SUMIF($N$6:$N$28,$U8,K$6:K$28)+SUMIF($N$91:$N$118,$U8,K$91:K$118))*$B$83*$H$84*Poor!$B$81/$B$81)</f>
        <v>14996.068386836114</v>
      </c>
      <c r="S8" s="220">
        <f>IF($B$81=0,0,(SUMIF($N$6:$N$28,$U8,L$6:L$28)+SUMIF($N$91:$N$118,$U8,L$91:L$118))*$I$83*Poor!$B$81/$B$81)</f>
        <v>3312.9599999999991</v>
      </c>
      <c r="T8" s="220">
        <f>IF($B$81=0,0,(SUMIF($N$6:$N$28,$U8,M$6:M$28)+SUMIF($N$91:$N$118,$U8,M$91:M$118))*$I$83*Poor!$B$81/$B$81)</f>
        <v>3241.7684285637906</v>
      </c>
      <c r="U8" s="221">
        <v>2</v>
      </c>
      <c r="V8" s="56"/>
      <c r="W8" s="115"/>
      <c r="X8" s="118">
        <f>Poor!X8</f>
        <v>1</v>
      </c>
      <c r="Y8" s="183">
        <f t="shared" si="9"/>
        <v>0.11738884771401113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0.11738884771401113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2.9347211928502783E-2</v>
      </c>
      <c r="AJ8" s="120">
        <f t="shared" si="14"/>
        <v>5.8694423857005566E-2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IF(Poor!A9=0,"",Poor!A9)</f>
        <v>Beans: kg produced</v>
      </c>
      <c r="B9" s="101">
        <f>IF([1]Summ!$J1047="",0,[1]Summ!$J1047)</f>
        <v>5.523525840597758E-2</v>
      </c>
      <c r="C9" s="102">
        <f>IF([1]Summ!$K1047="",0,[1]Summ!$K1047)</f>
        <v>0</v>
      </c>
      <c r="D9" s="24">
        <f t="shared" si="0"/>
        <v>5.523525840597758E-2</v>
      </c>
      <c r="E9" s="75">
        <f>Middle!E9</f>
        <v>0.2</v>
      </c>
      <c r="F9" s="76">
        <f>Poor!F9</f>
        <v>8800</v>
      </c>
      <c r="H9" s="24">
        <f t="shared" si="1"/>
        <v>0.2</v>
      </c>
      <c r="I9" s="22">
        <f t="shared" si="2"/>
        <v>1.1047051681195517E-2</v>
      </c>
      <c r="J9" s="24">
        <f t="shared" si="3"/>
        <v>1.1047051681195517E-2</v>
      </c>
      <c r="K9" s="22">
        <f t="shared" si="4"/>
        <v>5.523525840597758E-2</v>
      </c>
      <c r="L9" s="22">
        <f t="shared" si="5"/>
        <v>1.1047051681195517E-2</v>
      </c>
      <c r="M9" s="222">
        <f t="shared" si="6"/>
        <v>1.1047051681195517E-2</v>
      </c>
      <c r="N9" s="227">
        <v>1</v>
      </c>
      <c r="O9" s="2"/>
      <c r="P9" s="22"/>
      <c r="Q9" s="59" t="s">
        <v>73</v>
      </c>
      <c r="R9" s="220">
        <f>IF($B$81=0,0,(SUMIF($N$6:$N$28,$U9,K$6:K$28)+SUMIF($N$91:$N$118,$U9,K$91:K$118))*$B$83*$H$84*Poor!$B$81/$B$81)</f>
        <v>3037.7832928629437</v>
      </c>
      <c r="S9" s="220">
        <f>IF($B$81=0,0,(SUMIF($N$6:$N$28,$U9,L$6:L$28)+SUMIF($N$91:$N$118,$U9,L$91:L$118))*$I$83*Poor!$B$81/$B$81)</f>
        <v>670.6267001855233</v>
      </c>
      <c r="T9" s="220">
        <f>IF($B$81=0,0,(SUMIF($N$6:$N$28,$U9,M$6:M$28)+SUMIF($N$91:$N$118,$U9,M$91:M$118))*$I$83*Poor!$B$81/$B$81)</f>
        <v>670.6267001855233</v>
      </c>
      <c r="U9" s="221">
        <v>3</v>
      </c>
      <c r="V9" s="56"/>
      <c r="W9" s="115"/>
      <c r="X9" s="118">
        <f>Poor!X9</f>
        <v>1</v>
      </c>
      <c r="Y9" s="183">
        <f t="shared" si="9"/>
        <v>4.4188206724782068E-2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4.4188206724782068E-2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1.1047051681195517E-2</v>
      </c>
      <c r="AJ9" s="120">
        <f t="shared" si="14"/>
        <v>2.2094103362391034E-2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IF(Poor!A10=0,"",Poor!A10)</f>
        <v>potatoes: kg produced</v>
      </c>
      <c r="B10" s="101">
        <f>IF([1]Summ!$J1048="",0,[1]Summ!$J1048)</f>
        <v>3.3942799501867994E-2</v>
      </c>
      <c r="C10" s="102">
        <f>IF([1]Summ!$K1048="",0,[1]Summ!$K1048)</f>
        <v>5.9126166874221654E-2</v>
      </c>
      <c r="D10" s="24">
        <f t="shared" si="0"/>
        <v>9.3068966376089649E-2</v>
      </c>
      <c r="E10" s="75">
        <f>Middle!E10</f>
        <v>0.2</v>
      </c>
      <c r="H10" s="24">
        <f t="shared" si="1"/>
        <v>0.2</v>
      </c>
      <c r="I10" s="22">
        <f t="shared" si="2"/>
        <v>1.8613793275217932E-2</v>
      </c>
      <c r="J10" s="24">
        <f t="shared" si="3"/>
        <v>7.3041003585324425E-3</v>
      </c>
      <c r="K10" s="22">
        <f t="shared" si="4"/>
        <v>3.3942799501867994E-2</v>
      </c>
      <c r="L10" s="22">
        <f t="shared" si="5"/>
        <v>6.788559900373599E-3</v>
      </c>
      <c r="M10" s="222">
        <f t="shared" si="6"/>
        <v>7.3041003585324425E-3</v>
      </c>
      <c r="N10" s="227">
        <v>1</v>
      </c>
      <c r="O10" s="2"/>
      <c r="P10" s="22"/>
      <c r="Q10" s="59" t="s">
        <v>74</v>
      </c>
      <c r="R10" s="220">
        <f>IF($B$81=0,0,(SUMIF($N$6:$N$28,$U10,K$6:K$28)+SUMIF($N$91:$N$118,$U10,K$91:K$118))*$B$83*$H$84*Poor!$B$81/$B$81)</f>
        <v>0</v>
      </c>
      <c r="S10" s="220">
        <f>IF($B$81=0,0,(SUMIF($N$6:$N$28,$U10,L$6:L$28)+SUMIF($N$91:$N$118,$U10,L$91:L$118))*$I$83*Poor!$B$81/$B$81)</f>
        <v>0</v>
      </c>
      <c r="T10" s="220">
        <f>IF($B$81=0,0,(SUMIF($N$6:$N$28,$U10,M$6:M$28)+SUMIF($N$91:$N$118,$U10,M$91:M$118))*$I$83*Poor!$B$81/$B$81)</f>
        <v>0</v>
      </c>
      <c r="U10" s="221">
        <v>4</v>
      </c>
      <c r="V10" s="56"/>
      <c r="W10" s="115"/>
      <c r="X10" s="118">
        <f>Poor!X10</f>
        <v>1</v>
      </c>
      <c r="Y10" s="183">
        <f t="shared" si="9"/>
        <v>2.921640143412977E-2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2.921640143412977E-2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7.3041003585324425E-3</v>
      </c>
      <c r="AJ10" s="120">
        <f t="shared" si="14"/>
        <v>1.4608200717064885E-2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IF(Poor!A11=0,"",Poor!A11)</f>
        <v/>
      </c>
      <c r="B11" s="101">
        <f>IF([1]Summ!$J1049="",0,[1]Summ!$J1049)</f>
        <v>0</v>
      </c>
      <c r="C11" s="102">
        <f>IF([1]Summ!$K1049="",0,[1]Summ!$K1049)</f>
        <v>0</v>
      </c>
      <c r="D11" s="24">
        <f t="shared" si="0"/>
        <v>0</v>
      </c>
      <c r="E11" s="75">
        <f>Middle!E11</f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2">
        <f t="shared" si="6"/>
        <v>0</v>
      </c>
      <c r="N11" s="227"/>
      <c r="O11" s="2"/>
      <c r="P11" s="22"/>
      <c r="Q11" s="59" t="s">
        <v>75</v>
      </c>
      <c r="R11" s="220">
        <f>IF($B$81=0,0,(SUMIF($N$6:$N$28,$U11,K$6:K$28)+SUMIF($N$91:$N$118,$U11,K$91:K$118))*$B$83*$H$84*Poor!$B$81/$B$81)</f>
        <v>48955.466474170928</v>
      </c>
      <c r="S11" s="220">
        <f>IF($B$81=0,0,(SUMIF($N$6:$N$28,$U11,L$6:L$28)+SUMIF($N$91:$N$118,$U11,L$91:L$118))*$I$83*Poor!$B$81/$B$81)</f>
        <v>19322.499999999996</v>
      </c>
      <c r="T11" s="220">
        <f>IF($B$81=0,0,(SUMIF($N$6:$N$28,$U11,M$6:M$28)+SUMIF($N$91:$N$118,$U11,M$91:M$118))*$I$83*Poor!$B$81/$B$81)</f>
        <v>19386.805045970756</v>
      </c>
      <c r="U11" s="221">
        <v>5</v>
      </c>
      <c r="V11" s="56"/>
      <c r="W11" s="115"/>
      <c r="X11" s="118">
        <f>Poor!X11</f>
        <v>1</v>
      </c>
      <c r="Y11" s="183">
        <f t="shared" si="9"/>
        <v>0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>
        <f t="shared" si="13"/>
        <v>0</v>
      </c>
      <c r="AJ11" s="120">
        <f t="shared" si="14"/>
        <v>0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IF(Poor!A12=0,"",Poor!A12)</f>
        <v/>
      </c>
      <c r="B12" s="101">
        <f>IF([1]Summ!$J1050="",0,[1]Summ!$J1050)</f>
        <v>0</v>
      </c>
      <c r="C12" s="102">
        <f>IF([1]Summ!$K1050="",0,[1]Summ!$K1050)</f>
        <v>0</v>
      </c>
      <c r="D12" s="24">
        <f t="shared" si="0"/>
        <v>0</v>
      </c>
      <c r="E12" s="75">
        <f>Middle!E12</f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2">
        <f t="shared" si="6"/>
        <v>0</v>
      </c>
      <c r="N12" s="227"/>
      <c r="O12" s="2"/>
      <c r="P12" s="22"/>
      <c r="Q12" s="126" t="s">
        <v>124</v>
      </c>
      <c r="R12" s="220">
        <f>IF($B$81=0,0,(SUMIF($N$6:$N$28,$U12,K$6:K$28)+SUMIF($N$91:$N$118,$U12,K$91:K$118))*$B$83*$H$84*Poor!$B$81/$B$81)</f>
        <v>0</v>
      </c>
      <c r="S12" s="220">
        <f>IF($B$81=0,0,(SUMIF($N$6:$N$28,$U12,L$6:L$28)+SUMIF($N$91:$N$118,$U12,L$91:L$118))*$I$83*Poor!$B$81/$B$81)</f>
        <v>0</v>
      </c>
      <c r="T12" s="220">
        <f>IF($B$81=0,0,(SUMIF($N$6:$N$28,$U12,M$6:M$28)+SUMIF($N$91:$N$118,$U12,M$91:M$118))*$I$83*Poor!$B$81/$B$81)</f>
        <v>0</v>
      </c>
      <c r="U12" s="221">
        <v>6</v>
      </c>
      <c r="V12" s="56"/>
      <c r="W12" s="117"/>
      <c r="X12" s="118"/>
      <c r="Y12" s="183">
        <f t="shared" si="9"/>
        <v>0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IF(Poor!A13=0,"",Poor!A13)</f>
        <v/>
      </c>
      <c r="B13" s="101">
        <f>IF([1]Summ!$J1051="",0,[1]Summ!$J1051)</f>
        <v>0</v>
      </c>
      <c r="C13" s="102">
        <f>IF([1]Summ!$K1051="",0,[1]Summ!$K1051)</f>
        <v>0</v>
      </c>
      <c r="D13" s="24">
        <f t="shared" si="0"/>
        <v>0</v>
      </c>
      <c r="E13" s="75">
        <f>Middle!E13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3">
        <f t="shared" si="6"/>
        <v>0</v>
      </c>
      <c r="N13" s="227"/>
      <c r="O13" s="2"/>
      <c r="P13" s="22"/>
      <c r="Q13" s="59" t="s">
        <v>76</v>
      </c>
      <c r="R13" s="220">
        <f>IF($B$81=0,0,(SUMIF($N$6:$N$28,$U13,K$6:K$28)+SUMIF($N$91:$N$118,$U13,K$91:K$118))*$B$83*$H$84*Poor!$B$81/$B$81)</f>
        <v>0</v>
      </c>
      <c r="S13" s="220">
        <f>IF($B$81=0,0,(SUMIF($N$6:$N$28,$U13,L$6:L$28)+SUMIF($N$91:$N$118,$U13,L$91:L$118))*$I$83*Poor!$B$81/$B$81)</f>
        <v>0</v>
      </c>
      <c r="T13" s="220">
        <f>IF($B$81=0,0,(SUMIF($N$6:$N$28,$U13,M$6:M$28)+SUMIF($N$91:$N$118,$U13,M$91:M$118))*$I$83*Poor!$B$81/$B$81)</f>
        <v>0</v>
      </c>
      <c r="U13" s="221">
        <v>7</v>
      </c>
      <c r="V13" s="56"/>
      <c r="W13" s="110"/>
      <c r="X13" s="118"/>
      <c r="Y13" s="183">
        <f t="shared" si="9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IF(Poor!A14=0,"",Poor!A14)</f>
        <v/>
      </c>
      <c r="B14" s="101">
        <f>IF([1]Summ!$J1052="",0,[1]Summ!$J1052)</f>
        <v>0</v>
      </c>
      <c r="C14" s="102">
        <f>IF([1]Summ!$K1052="",0,[1]Summ!$K1052)</f>
        <v>0</v>
      </c>
      <c r="D14" s="24">
        <f t="shared" si="0"/>
        <v>0</v>
      </c>
      <c r="E14" s="75">
        <f>Middle!E14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3">
        <f t="shared" si="6"/>
        <v>0</v>
      </c>
      <c r="N14" s="227"/>
      <c r="O14" s="2"/>
      <c r="P14" s="22"/>
      <c r="Q14" s="126" t="s">
        <v>77</v>
      </c>
      <c r="R14" s="220">
        <f>IF($B$81=0,0,(SUMIF($N$6:$N$28,$U14,K$6:K$28)+SUMIF($N$91:$N$118,$U14,K$91:K$118))*$B$83*$H$84*Poor!$B$81/$B$81)</f>
        <v>113008.64932663579</v>
      </c>
      <c r="S14" s="220">
        <f>IF($B$81=0,0,(SUMIF($N$6:$N$28,$U14,L$6:L$28)+SUMIF($N$91:$N$118,$U14,L$91:L$118))*$I$83*Poor!$B$81/$B$81)</f>
        <v>35683.199999999997</v>
      </c>
      <c r="T14" s="220">
        <f>IF($B$81=0,0,(SUMIF($N$6:$N$28,$U14,M$6:M$28)+SUMIF($N$91:$N$118,$U14,M$91:M$118))*$I$83*Poor!$B$81/$B$81)</f>
        <v>35683.199999999997</v>
      </c>
      <c r="U14" s="221">
        <v>8</v>
      </c>
      <c r="V14" s="56"/>
      <c r="W14" s="110"/>
      <c r="X14" s="118"/>
      <c r="Y14" s="183">
        <f>M14*4</f>
        <v>0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IF(Poor!A15=0,"",Poor!A15)</f>
        <v/>
      </c>
      <c r="B15" s="101">
        <f>IF([1]Summ!$J1053="",0,[1]Summ!$J1053)</f>
        <v>0</v>
      </c>
      <c r="C15" s="102">
        <f>IF([1]Summ!$K1053="",0,[1]Summ!$K1053)</f>
        <v>0</v>
      </c>
      <c r="D15" s="24">
        <f t="shared" si="0"/>
        <v>0</v>
      </c>
      <c r="E15" s="75">
        <f>Middle!E15</f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4">
        <f t="shared" si="6"/>
        <v>0</v>
      </c>
      <c r="N15" s="227"/>
      <c r="O15" s="2"/>
      <c r="P15" s="22"/>
      <c r="Q15" s="59" t="s">
        <v>126</v>
      </c>
      <c r="R15" s="220">
        <f>IF($B$81=0,0,(SUMIF($N$6:$N$28,$U15,K$6:K$28)+SUMIF($N$91:$N$118,$U15,K$91:K$118))*$B$83*$H$84*Poor!$B$81/$B$81)</f>
        <v>0</v>
      </c>
      <c r="S15" s="220">
        <f>IF($B$81=0,0,(SUMIF($N$6:$N$28,$U15,L$6:L$28)+SUMIF($N$91:$N$118,$U15,L$91:L$118))*$I$83*Poor!$B$81/$B$81)</f>
        <v>0</v>
      </c>
      <c r="T15" s="220">
        <f>IF($B$81=0,0,(SUMIF($N$6:$N$28,$U15,M$6:M$28)+SUMIF($N$91:$N$118,$U15,M$91:M$118))*$I$83*Poor!$B$81/$B$81)</f>
        <v>0</v>
      </c>
      <c r="U15" s="221">
        <v>9</v>
      </c>
      <c r="V15" s="56"/>
      <c r="W15" s="110"/>
      <c r="X15" s="118"/>
      <c r="Y15" s="183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IF(Poor!A16=0,"",Poor!A16)</f>
        <v/>
      </c>
      <c r="B16" s="101">
        <f>IF([1]Summ!$J1054="",0,[1]Summ!$J1054)</f>
        <v>0</v>
      </c>
      <c r="C16" s="102">
        <f>IF([1]Summ!$K1054="",0,[1]Summ!$K1054)</f>
        <v>0</v>
      </c>
      <c r="D16" s="24">
        <f t="shared" si="0"/>
        <v>0</v>
      </c>
      <c r="E16" s="75">
        <f>Middle!E16</f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2">
        <f t="shared" si="6"/>
        <v>0</v>
      </c>
      <c r="N16" s="227"/>
      <c r="O16" s="2"/>
      <c r="P16" s="22"/>
      <c r="Q16" s="126" t="s">
        <v>78</v>
      </c>
      <c r="R16" s="220">
        <f>IF($B$81=0,0,(SUMIF($N$6:$N$28,$U16,K$6:K$28)+SUMIF($N$91:$N$118,$U16,K$91:K$118))*$B$83*$H$84*Poor!$B$81/$B$81)</f>
        <v>0</v>
      </c>
      <c r="S16" s="220">
        <f>IF($B$81=0,0,(SUMIF($N$6:$N$28,$U16,L$6:L$28)+SUMIF($N$91:$N$118,$U16,L$91:L$118))*$I$83*Poor!$B$81/$B$81)</f>
        <v>0</v>
      </c>
      <c r="T16" s="220">
        <f>IF($B$81=0,0,(SUMIF($N$6:$N$28,$U16,M$6:M$28)+SUMIF($N$91:$N$118,$U16,M$91:M$118))*$I$83*Poor!$B$81/$B$81)</f>
        <v>0</v>
      </c>
      <c r="U16" s="221">
        <v>10</v>
      </c>
      <c r="V16" s="56"/>
      <c r="W16" s="110"/>
      <c r="X16" s="118"/>
      <c r="Y16" s="183">
        <f t="shared" si="9"/>
        <v>0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3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IF(Poor!A17=0,"",Poor!A17)</f>
        <v/>
      </c>
      <c r="B17" s="101">
        <f>IF([1]Summ!$J1055="",0,[1]Summ!$J1055)</f>
        <v>0</v>
      </c>
      <c r="C17" s="102">
        <f>IF([1]Summ!$K1055="",0,[1]Summ!$K1055)</f>
        <v>0</v>
      </c>
      <c r="D17" s="24">
        <f t="shared" si="0"/>
        <v>0</v>
      </c>
      <c r="E17" s="75">
        <f>Middle!E17</f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3">
        <f t="shared" si="6"/>
        <v>0</v>
      </c>
      <c r="N17" s="227"/>
      <c r="O17" s="2"/>
      <c r="P17" s="22"/>
      <c r="Q17" s="126" t="s">
        <v>125</v>
      </c>
      <c r="R17" s="220">
        <f>IF($B$81=0,0,(SUMIF($N$6:$N$28,$U17,K$6:K$28)+SUMIF($N$91:$N$118,$U17,K$91:K$118))*$B$83*$H$84*Poor!$B$81/$B$81)</f>
        <v>93725.427417725718</v>
      </c>
      <c r="S17" s="220">
        <f>IF($B$81=0,0,(SUMIF($N$6:$N$28,$U17,L$6:L$28)+SUMIF($N$91:$N$118,$U17,L$91:L$118))*$I$83*Poor!$B$81/$B$81)</f>
        <v>59188.800000000003</v>
      </c>
      <c r="T17" s="220">
        <f>IF($B$81=0,0,(SUMIF($N$6:$N$28,$U17,M$6:M$28)+SUMIF($N$91:$N$118,$U17,M$91:M$118))*$I$83*Poor!$B$81/$B$81)</f>
        <v>59188.800000000003</v>
      </c>
      <c r="U17" s="221">
        <v>11</v>
      </c>
      <c r="V17" s="56"/>
      <c r="W17" s="110"/>
      <c r="X17" s="118"/>
      <c r="Y17" s="183">
        <f t="shared" si="9"/>
        <v>0</v>
      </c>
      <c r="Z17" s="156">
        <f>Poor!Z17</f>
        <v>0.29409999999999997</v>
      </c>
      <c r="AA17" s="121">
        <f t="shared" si="16"/>
        <v>0</v>
      </c>
      <c r="AB17" s="156">
        <f>Poor!AB17</f>
        <v>0.17649999999999999</v>
      </c>
      <c r="AC17" s="121">
        <f t="shared" si="7"/>
        <v>0</v>
      </c>
      <c r="AD17" s="156">
        <f>Poor!AD17</f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IF(Poor!A18=0,"",Poor!A18)</f>
        <v/>
      </c>
      <c r="B18" s="101">
        <f>IF([1]Summ!$J1056="",0,[1]Summ!$J1056)</f>
        <v>0</v>
      </c>
      <c r="C18" s="102">
        <f>IF([1]Summ!$K1056="",0,[1]Summ!$K1056)</f>
        <v>0</v>
      </c>
      <c r="D18" s="24">
        <f t="shared" ref="D18:D25" si="18">(B18+C18)</f>
        <v>0</v>
      </c>
      <c r="E18" s="75">
        <f>Middle!E18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3">
        <f t="shared" ref="M18:M25" si="23">J18</f>
        <v>0</v>
      </c>
      <c r="N18" s="227"/>
      <c r="O18" s="2"/>
      <c r="P18" s="22"/>
      <c r="Q18" s="59" t="s">
        <v>79</v>
      </c>
      <c r="R18" s="220">
        <f>IF($B$81=0,0,(SUMIF($N$6:$N$28,$U18,K$6:K$28)+SUMIF($N$91:$N$118,$U18,K$91:K$118))*$B$83*$H$84*Poor!$B$81/$B$81)</f>
        <v>0</v>
      </c>
      <c r="S18" s="220">
        <f>IF($B$81=0,0,(SUMIF($N$6:$N$28,$U18,L$6:L$28)+SUMIF($N$91:$N$118,$U18,L$91:L$118))*$I$83*Poor!$B$81/$B$81)</f>
        <v>0</v>
      </c>
      <c r="T18" s="220">
        <f>IF($B$81=0,0,(SUMIF($N$6:$N$28,$U18,M$6:M$28)+SUMIF($N$91:$N$118,$U18,M$91:M$118))*$I$83*Poor!$B$81/$B$81)</f>
        <v>0</v>
      </c>
      <c r="U18" s="221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IF(Poor!A19=0,"",Poor!A19)</f>
        <v/>
      </c>
      <c r="B19" s="101">
        <f>IF([1]Summ!$J1057="",0,[1]Summ!$J1057)</f>
        <v>0</v>
      </c>
      <c r="C19" s="102">
        <f>IF([1]Summ!$K1057="",0,[1]Summ!$K1057)</f>
        <v>0</v>
      </c>
      <c r="D19" s="24">
        <f t="shared" si="18"/>
        <v>0</v>
      </c>
      <c r="E19" s="75">
        <f>Middle!E19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3">
        <f t="shared" si="23"/>
        <v>0</v>
      </c>
      <c r="N19" s="227"/>
      <c r="O19" s="2"/>
      <c r="P19" s="22"/>
      <c r="Q19" s="59" t="s">
        <v>80</v>
      </c>
      <c r="R19" s="220">
        <f>IF($B$81=0,0,(SUMIF($N$6:$N$28,$U19,K$6:K$28)+SUMIF($N$91:$N$118,$U19,K$91:K$118))*$B$83*$H$84*Poor!$B$81/$B$81)</f>
        <v>0</v>
      </c>
      <c r="S19" s="220">
        <f>IF($B$81=0,0,(SUMIF($N$6:$N$28,$U19,L$6:L$28)+SUMIF($N$91:$N$118,$U19,L$91:L$118))*$I$83*Poor!$B$81/$B$81)</f>
        <v>0</v>
      </c>
      <c r="T19" s="220">
        <f>IF($B$81=0,0,(SUMIF($N$6:$N$28,$U19,M$6:M$28)+SUMIF($N$91:$N$118,$U19,M$91:M$118))*$I$83*Poor!$B$81/$B$81)</f>
        <v>0</v>
      </c>
      <c r="U19" s="221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IF(Poor!A20=0,"",Poor!A20)</f>
        <v/>
      </c>
      <c r="B20" s="101">
        <f>IF([1]Summ!$J1058="",0,[1]Summ!$J1058)</f>
        <v>0</v>
      </c>
      <c r="C20" s="102">
        <f>IF([1]Summ!$K1058="",0,[1]Summ!$K1058)</f>
        <v>0</v>
      </c>
      <c r="D20" s="24">
        <f t="shared" si="18"/>
        <v>0</v>
      </c>
      <c r="E20" s="75">
        <f>Middle!E20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3">
        <f t="shared" si="23"/>
        <v>0</v>
      </c>
      <c r="N20" s="227"/>
      <c r="O20" s="2"/>
      <c r="P20" s="22"/>
      <c r="Q20" s="59" t="s">
        <v>81</v>
      </c>
      <c r="R20" s="220">
        <f>IF($B$81=0,0,(SUMIF($N$6:$N$28,$U20,K$6:K$28)+SUMIF($N$91:$N$118,$U20,K$91:K$118))*$B$83*$H$84*Poor!$B$81/$B$81)</f>
        <v>11390.554336891068</v>
      </c>
      <c r="S20" s="220">
        <f>IF($B$81=0,0,(SUMIF($N$6:$N$28,$U20,L$6:L$28)+SUMIF($N$91:$N$118,$U20,L$91:L$118))*$I$83*Poor!$B$81/$B$81)</f>
        <v>0</v>
      </c>
      <c r="T20" s="220">
        <f>IF($B$81=0,0,(SUMIF($N$6:$N$28,$U20,M$6:M$28)+SUMIF($N$91:$N$118,$U20,M$91:M$118))*$I$83*Poor!$B$81/$B$81)</f>
        <v>0</v>
      </c>
      <c r="U20" s="221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IF(Poor!A21=0,"",Poor!A21)</f>
        <v/>
      </c>
      <c r="B21" s="101">
        <f>IF([1]Summ!$J1059="",0,[1]Summ!$J1059)</f>
        <v>0</v>
      </c>
      <c r="C21" s="102">
        <f>IF([1]Summ!$K1059="",0,[1]Summ!$K1059)</f>
        <v>0</v>
      </c>
      <c r="D21" s="24">
        <f t="shared" si="18"/>
        <v>0</v>
      </c>
      <c r="E21" s="75">
        <f>Middle!E21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3">
        <f t="shared" si="23"/>
        <v>0</v>
      </c>
      <c r="N21" s="227"/>
      <c r="O21" s="2"/>
      <c r="P21" s="22"/>
      <c r="Q21" s="59" t="s">
        <v>82</v>
      </c>
      <c r="R21" s="220">
        <f>IF($B$81=0,0,(SUMIF($N$6:$N$28,$U21,K$6:K$28)+SUMIF($N$91:$N$118,$U21,K$91:K$118))*$B$83*$H$84*Poor!$B$81/$B$81)</f>
        <v>38925.201434730108</v>
      </c>
      <c r="S21" s="220">
        <f>IF($B$81=0,0,(SUMIF($N$6:$N$28,$U21,L$6:L$28)+SUMIF($N$91:$N$118,$U21,L$91:L$118))*$I$83*Poor!$B$81/$B$81)</f>
        <v>27030.000000000004</v>
      </c>
      <c r="T21" s="220">
        <f>IF($B$81=0,0,(SUMIF($N$6:$N$28,$U21,M$6:M$28)+SUMIF($N$91:$N$118,$U21,M$91:M$118))*$I$83*Poor!$B$81/$B$81)</f>
        <v>27030.000000000004</v>
      </c>
      <c r="U21" s="221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IF(Poor!A22=0,"",Poor!A22)</f>
        <v/>
      </c>
      <c r="B22" s="101">
        <f>IF([1]Summ!$J1060="",0,[1]Summ!$J1060)</f>
        <v>0</v>
      </c>
      <c r="C22" s="102">
        <f>IF([1]Summ!$K1060="",0,[1]Summ!$K1060)</f>
        <v>0</v>
      </c>
      <c r="D22" s="24">
        <f t="shared" si="18"/>
        <v>0</v>
      </c>
      <c r="E22" s="75">
        <f>Middle!E22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3">
        <f t="shared" si="23"/>
        <v>0</v>
      </c>
      <c r="N22" s="227"/>
      <c r="O22" s="2"/>
      <c r="P22" s="22"/>
      <c r="Q22" s="59" t="s">
        <v>83</v>
      </c>
      <c r="R22" s="220">
        <f>IF($B$81=0,0,(SUMIF($N$6:$N$28,$U22,K$6:K$28)+SUMIF($N$91:$N$118,$U22,K$91:K$118))*$B$83*$H$84*Poor!$B$81/$B$81)</f>
        <v>0</v>
      </c>
      <c r="S22" s="220">
        <f>IF($B$81=0,0,(SUMIF($N$6:$N$28,$U22,L$6:L$28)+SUMIF($N$91:$N$118,$U22,L$91:L$118))*$I$83*Poor!$B$81/$B$81)</f>
        <v>0</v>
      </c>
      <c r="T22" s="220">
        <f>IF($B$81=0,0,(SUMIF($N$6:$N$28,$U22,M$6:M$28)+SUMIF($N$91:$N$118,$U22,M$91:M$118))*$I$83*Poor!$B$81/$B$81)</f>
        <v>0</v>
      </c>
      <c r="U22" s="221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IF(Poor!A23=0,"",Poor!A23)</f>
        <v/>
      </c>
      <c r="B23" s="101">
        <f>IF([1]Summ!$J1061="",0,[1]Summ!$J1061)</f>
        <v>0</v>
      </c>
      <c r="C23" s="102">
        <f>IF([1]Summ!$K1061="",0,[1]Summ!$K1061)</f>
        <v>0</v>
      </c>
      <c r="D23" s="24">
        <f t="shared" si="18"/>
        <v>0</v>
      </c>
      <c r="E23" s="75">
        <f>Middle!E23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3">
        <f t="shared" si="23"/>
        <v>0</v>
      </c>
      <c r="N23" s="227"/>
      <c r="O23" s="2"/>
      <c r="P23" s="22"/>
      <c r="Q23" s="171" t="s">
        <v>100</v>
      </c>
      <c r="R23" s="179">
        <f>SUM(R7:R22)</f>
        <v>326648.99369562237</v>
      </c>
      <c r="S23" s="179">
        <f>SUM(S7:S22)</f>
        <v>145899.11430827991</v>
      </c>
      <c r="T23" s="179">
        <f>SUM(T7:T22)</f>
        <v>146127.60572625403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IF(Poor!A24=0,"",Poor!A24)</f>
        <v/>
      </c>
      <c r="B24" s="101">
        <f>IF([1]Summ!$J1062="",0,[1]Summ!$J1062)</f>
        <v>0</v>
      </c>
      <c r="C24" s="102">
        <f>IF([1]Summ!$K1062="",0,[1]Summ!$K1062)</f>
        <v>0</v>
      </c>
      <c r="D24" s="24">
        <f t="shared" si="18"/>
        <v>0</v>
      </c>
      <c r="E24" s="75">
        <f>Middle!E24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3">
        <f t="shared" si="23"/>
        <v>0</v>
      </c>
      <c r="N24" s="227"/>
      <c r="O24" s="2"/>
      <c r="P24" s="22"/>
      <c r="Q24" s="59" t="s">
        <v>137</v>
      </c>
      <c r="R24" s="41">
        <f>IF($B$81=0,0,(SUM(($B$70*$H$70))+((1-$D$29)*$I$83))*Poor!$B$81/$B$81)</f>
        <v>35969.406972062061</v>
      </c>
      <c r="S24" s="41">
        <f>IF($B$81=0,0,(SUM(($B$70*$H$70))+((1-$D$29)*$I$83))*Poor!$B$81/$B$81)</f>
        <v>35969.406972062061</v>
      </c>
      <c r="T24" s="41">
        <f>IF($B$81=0,0,(SUM(($B$70*$H$70))+((1-$D$29)*$I$83))*Poor!$B$81/$B$81)</f>
        <v>35969.406972062061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IF(Poor!A25=0,"",Poor!A25)</f>
        <v/>
      </c>
      <c r="B25" s="101">
        <f>IF([1]Summ!$J1063="",0,[1]Summ!$J1063)</f>
        <v>0</v>
      </c>
      <c r="C25" s="102">
        <f>IF([1]Summ!$K1063="",0,[1]Summ!$K1063)</f>
        <v>0</v>
      </c>
      <c r="D25" s="24">
        <f t="shared" si="18"/>
        <v>0</v>
      </c>
      <c r="E25" s="75">
        <f>Middle!E25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3">
        <f t="shared" si="23"/>
        <v>0</v>
      </c>
      <c r="N25" s="227"/>
      <c r="O25" s="2"/>
      <c r="P25" s="22"/>
      <c r="Q25" s="142" t="s">
        <v>138</v>
      </c>
      <c r="R25" s="41">
        <f>IF($B$81=0,0,(SUM(($B$70*$H$70),($B$71*$H$71))+((1-$D$29)*$I$83))*Poor!$B$81/$B$81)</f>
        <v>54352.233638728729</v>
      </c>
      <c r="S25" s="41">
        <f>IF($B$81=0,0,(SUM(($B$70*$H$70),($B$71*$H$71))+((1-$D$29)*$I$83))*Poor!$B$81/$B$81)</f>
        <v>54352.233638728729</v>
      </c>
      <c r="T25" s="41">
        <f>IF($B$81=0,0,(SUM(($B$70*$H$70),($B$71*$H$71))+((1-$D$29)*$I$83))*Poor!$B$81/$B$81)</f>
        <v>54352.233638728729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IF(Poor!A26=0,"",Poor!A26)</f>
        <v>Food aid</v>
      </c>
      <c r="B26" s="101">
        <f>IF([1]Summ!$J1064="",0,[1]Summ!$J1064)</f>
        <v>0</v>
      </c>
      <c r="C26" s="102">
        <f>IF([1]Summ!$K1064="",0,[1]Summ!$K1064)</f>
        <v>0</v>
      </c>
      <c r="D26" s="24">
        <f t="shared" si="0"/>
        <v>0</v>
      </c>
      <c r="E26" s="75">
        <f>Middle!E26</f>
        <v>1</v>
      </c>
      <c r="F26" s="22"/>
      <c r="H26" s="24">
        <f t="shared" si="1"/>
        <v>1</v>
      </c>
      <c r="I26" s="22">
        <f t="shared" si="2"/>
        <v>0</v>
      </c>
      <c r="J26" s="24">
        <f>IF(I$32&lt;=1+I131,I26,B26*H26+J$33*(I26-B26*H26))</f>
        <v>0</v>
      </c>
      <c r="K26" s="22">
        <f t="shared" si="4"/>
        <v>0</v>
      </c>
      <c r="L26" s="22">
        <f t="shared" si="5"/>
        <v>0</v>
      </c>
      <c r="M26" s="222">
        <f t="shared" si="6"/>
        <v>0</v>
      </c>
      <c r="N26" s="227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87090.15363872872</v>
      </c>
      <c r="S26" s="41">
        <f>IF($B$81=0,0,(SUM(($B$70*$H$70),($B$71*$H$71),($B$72*$H$72))+((1-$D$29)*$I$83))*Poor!$B$81/$B$81)</f>
        <v>87090.15363872872</v>
      </c>
      <c r="T26" s="41">
        <f>IF($B$81=0,0,(SUM(($B$70*$H$70),($B$71*$H$71),($B$72*$H$72))+((1-$D$29)*$I$83))*Poor!$B$81/$B$81)</f>
        <v>87090.15363872872</v>
      </c>
      <c r="U26" s="56"/>
      <c r="V26" s="56"/>
      <c r="W26" s="110"/>
      <c r="X26" s="118"/>
      <c r="Y26" s="183">
        <f t="shared" si="9"/>
        <v>0</v>
      </c>
      <c r="Z26" s="156">
        <f>Poor!Z26</f>
        <v>0.25</v>
      </c>
      <c r="AA26" s="121">
        <f t="shared" si="16"/>
        <v>0</v>
      </c>
      <c r="AB26" s="156">
        <f>Poor!AB26</f>
        <v>0.25</v>
      </c>
      <c r="AC26" s="121">
        <f t="shared" si="7"/>
        <v>0</v>
      </c>
      <c r="AD26" s="156">
        <f>Poor!AD26</f>
        <v>0.25</v>
      </c>
      <c r="AE26" s="121">
        <f t="shared" si="8"/>
        <v>0</v>
      </c>
      <c r="AF26" s="122">
        <f t="shared" si="10"/>
        <v>0.25</v>
      </c>
      <c r="AG26" s="121">
        <f t="shared" si="11"/>
        <v>0</v>
      </c>
      <c r="AH26" s="123">
        <f t="shared" si="12"/>
        <v>1</v>
      </c>
      <c r="AI26" s="183">
        <f t="shared" si="13"/>
        <v>0</v>
      </c>
      <c r="AJ26" s="120">
        <f t="shared" si="14"/>
        <v>0</v>
      </c>
      <c r="AK26" s="119">
        <f t="shared" si="15"/>
        <v>0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IF(Poor!A27=0,"",Poor!A27)</f>
        <v>Purchase - other</v>
      </c>
      <c r="B27" s="101">
        <f>IF([1]Summ!$J1065="",0,[1]Summ!$J1065)</f>
        <v>3.314115504358655E-2</v>
      </c>
      <c r="C27" s="102">
        <f>IF([1]Summ!$K1065="",0,[1]Summ!$K1065)</f>
        <v>-3.314115504358655E-2</v>
      </c>
      <c r="D27" s="24">
        <f t="shared" si="0"/>
        <v>0</v>
      </c>
      <c r="E27" s="75">
        <f>Middle!E27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3.1696311993687012E-2</v>
      </c>
      <c r="K27" s="22">
        <f t="shared" si="4"/>
        <v>3.314115504358655E-2</v>
      </c>
      <c r="L27" s="22">
        <f t="shared" si="5"/>
        <v>3.314115504358655E-2</v>
      </c>
      <c r="M27" s="224">
        <f t="shared" si="6"/>
        <v>3.1696311993687012E-2</v>
      </c>
      <c r="N27" s="227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0.12678524797474805</v>
      </c>
      <c r="Z27" s="156">
        <f>Poor!Z27</f>
        <v>0.25</v>
      </c>
      <c r="AA27" s="121">
        <f t="shared" si="16"/>
        <v>3.1696311993687012E-2</v>
      </c>
      <c r="AB27" s="156">
        <f>Poor!AB27</f>
        <v>0.25</v>
      </c>
      <c r="AC27" s="121">
        <f t="shared" si="7"/>
        <v>3.1696311993687012E-2</v>
      </c>
      <c r="AD27" s="156">
        <f>Poor!AD27</f>
        <v>0.25</v>
      </c>
      <c r="AE27" s="121">
        <f t="shared" si="8"/>
        <v>3.1696311993687012E-2</v>
      </c>
      <c r="AF27" s="122">
        <f t="shared" si="10"/>
        <v>0.25</v>
      </c>
      <c r="AG27" s="121">
        <f t="shared" si="11"/>
        <v>3.1696311993687012E-2</v>
      </c>
      <c r="AH27" s="123">
        <f t="shared" si="12"/>
        <v>1</v>
      </c>
      <c r="AI27" s="183">
        <f t="shared" si="13"/>
        <v>3.1696311993687012E-2</v>
      </c>
      <c r="AJ27" s="120">
        <f t="shared" si="14"/>
        <v>3.1696311993687012E-2</v>
      </c>
      <c r="AK27" s="119">
        <f t="shared" si="15"/>
        <v>3.1696311993687012E-2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IF(Poor!A28=0,"",Poor!A28)</f>
        <v>Purchase - desirable</v>
      </c>
      <c r="B28" s="101">
        <f>IF([1]Summ!$J1066="",0,[1]Summ!$J1066)</f>
        <v>0</v>
      </c>
      <c r="C28" s="102">
        <f>IF([1]Summ!$K1066="",0,[1]Summ!$K1066)</f>
        <v>0</v>
      </c>
      <c r="D28" s="24">
        <f t="shared" si="0"/>
        <v>0</v>
      </c>
      <c r="E28" s="75">
        <f>Middle!E28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2">
        <f t="shared" si="6"/>
        <v>0</v>
      </c>
      <c r="N28" s="227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IF(Poor!A29=0,"",Poor!A29)</f>
        <v>Purchase - fpl non staple</v>
      </c>
      <c r="B29" s="101">
        <f>IF([1]Summ!$J1067="",0,[1]Summ!$J1067)</f>
        <v>0.4675118788916563</v>
      </c>
      <c r="C29" s="102">
        <f>IF([1]Summ!$K1067="",0,[1]Summ!$K1067)</f>
        <v>-0.24287510494965928</v>
      </c>
      <c r="D29" s="24">
        <f t="shared" si="0"/>
        <v>0.22463677394199702</v>
      </c>
      <c r="E29" s="75">
        <f>Middle!E29</f>
        <v>1</v>
      </c>
      <c r="F29" s="22"/>
      <c r="H29" s="24">
        <f t="shared" si="1"/>
        <v>1</v>
      </c>
      <c r="I29" s="22">
        <f t="shared" si="2"/>
        <v>0.22463677394199702</v>
      </c>
      <c r="J29" s="24">
        <f>IF(I$32&lt;=1+I131,I29,B29*H29+J$33*(I29-B29*H29))</f>
        <v>0.45692334005169682</v>
      </c>
      <c r="K29" s="22">
        <f t="shared" si="4"/>
        <v>0.4675118788916563</v>
      </c>
      <c r="L29" s="22">
        <f t="shared" si="5"/>
        <v>0.4675118788916563</v>
      </c>
      <c r="M29" s="175">
        <f t="shared" si="6"/>
        <v>0.45692334005169682</v>
      </c>
      <c r="N29" s="227"/>
      <c r="P29" s="22"/>
      <c r="V29" s="56"/>
      <c r="W29" s="110"/>
      <c r="X29" s="118"/>
      <c r="Y29" s="183">
        <f t="shared" si="9"/>
        <v>1.8276933602067873</v>
      </c>
      <c r="Z29" s="156">
        <f>Poor!Z29</f>
        <v>0.25</v>
      </c>
      <c r="AA29" s="121">
        <f t="shared" si="16"/>
        <v>0.45692334005169682</v>
      </c>
      <c r="AB29" s="156">
        <f>Poor!AB29</f>
        <v>0.25</v>
      </c>
      <c r="AC29" s="121">
        <f t="shared" si="7"/>
        <v>0.45692334005169682</v>
      </c>
      <c r="AD29" s="156">
        <f>Poor!AD29</f>
        <v>0.25</v>
      </c>
      <c r="AE29" s="121">
        <f t="shared" si="8"/>
        <v>0.45692334005169682</v>
      </c>
      <c r="AF29" s="122">
        <f t="shared" si="10"/>
        <v>0.25</v>
      </c>
      <c r="AG29" s="121">
        <f t="shared" si="11"/>
        <v>0.45692334005169682</v>
      </c>
      <c r="AH29" s="123">
        <f t="shared" si="12"/>
        <v>1</v>
      </c>
      <c r="AI29" s="183">
        <f t="shared" si="13"/>
        <v>0.45692334005169682</v>
      </c>
      <c r="AJ29" s="120">
        <f t="shared" si="14"/>
        <v>0.45692334005169682</v>
      </c>
      <c r="AK29" s="119">
        <f t="shared" si="15"/>
        <v>0.45692334005169682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IF([1]Summ!$J1068="",0,[1]Summ!$J1068)</f>
        <v>0.5065454465753424</v>
      </c>
      <c r="C30" s="65"/>
      <c r="D30" s="24">
        <f>(D119-B124)</f>
        <v>16.844278019812783</v>
      </c>
      <c r="E30" s="75">
        <f>Middle!E30</f>
        <v>1</v>
      </c>
      <c r="H30" s="96">
        <f>(E30*F$7/F$9)</f>
        <v>1</v>
      </c>
      <c r="I30" s="29">
        <f>IF(E30&gt;=1,I119-I124,MIN(I119-I124,B30*H30))</f>
        <v>6.3571346937635891</v>
      </c>
      <c r="J30" s="229">
        <f>IF(I$32&lt;=1,I30,1-SUM(J6:J29))</f>
        <v>0.42915304967754353</v>
      </c>
      <c r="K30" s="22">
        <f t="shared" si="4"/>
        <v>0.5065454465753424</v>
      </c>
      <c r="L30" s="22">
        <f>IF(L124=L119,0,IF(K30="",0,(L119-L124)/(B119-B124)*K30))</f>
        <v>0.18995027701023287</v>
      </c>
      <c r="M30" s="175">
        <f t="shared" si="6"/>
        <v>0.42915304967754353</v>
      </c>
      <c r="N30" s="166" t="s">
        <v>86</v>
      </c>
      <c r="O30" s="2"/>
      <c r="P30" s="22"/>
      <c r="Q30" s="232" t="s">
        <v>141</v>
      </c>
      <c r="R30" s="232">
        <f t="shared" ref="R30:T32" si="24">IF(R24&gt;R$23,R24-R$23,0)</f>
        <v>0</v>
      </c>
      <c r="S30" s="232">
        <f t="shared" si="24"/>
        <v>0</v>
      </c>
      <c r="T30" s="232">
        <f t="shared" si="24"/>
        <v>0</v>
      </c>
      <c r="V30" s="56"/>
      <c r="W30" s="110"/>
      <c r="X30" s="118"/>
      <c r="Y30" s="183">
        <f>M30*4</f>
        <v>1.7166121987101741</v>
      </c>
      <c r="Z30" s="122">
        <f>IF($Y30=0,0,AA30/($Y$30))</f>
        <v>0.18006256867570303</v>
      </c>
      <c r="AA30" s="187">
        <f>IF(AA79*4/$I$83+SUM(AA6:AA29)&lt;1,AA79*4/$I$83,1-SUM(AA6:AA29))</f>
        <v>0.30909760191980029</v>
      </c>
      <c r="AB30" s="122">
        <f>IF($Y30=0,0,AC30/($Y$30))</f>
        <v>0.29120791415109992</v>
      </c>
      <c r="AC30" s="187">
        <f>IF(AC79*4/$I$83+SUM(AC6:AC29)&lt;1,AC79*4/$I$83,1-SUM(AC6:AC29))</f>
        <v>0.49989105779272325</v>
      </c>
      <c r="AD30" s="122">
        <f>IF($Y30=0,0,AE30/($Y$30))</f>
        <v>0.2849086174478262</v>
      </c>
      <c r="AE30" s="187">
        <f>IF(AE79*4/$I$83+SUM(AE6:AE29)&lt;1,AE79*4/$I$83,1-SUM(AE6:AE29))</f>
        <v>0.48907760822858881</v>
      </c>
      <c r="AF30" s="122">
        <f>IF($Y30=0,0,AG30/($Y$30))</f>
        <v>0.24382089972537099</v>
      </c>
      <c r="AG30" s="187">
        <f>IF(AG79*4/$I$83+SUM(AG6:AG29)&lt;1,AG79*4/$I$83,1-SUM(AG6:AG29))</f>
        <v>0.41854593076906199</v>
      </c>
      <c r="AH30" s="123">
        <f t="shared" si="12"/>
        <v>1.0000000000000002</v>
      </c>
      <c r="AI30" s="183">
        <f t="shared" si="13"/>
        <v>0.42915304967754359</v>
      </c>
      <c r="AJ30" s="120">
        <f t="shared" si="14"/>
        <v>0.40449432985626177</v>
      </c>
      <c r="AK30" s="119">
        <f t="shared" si="15"/>
        <v>0.4538117694988254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0">
        <f>(1-SUM(J6:J30))</f>
        <v>0</v>
      </c>
      <c r="K31" s="22" t="str">
        <f t="shared" si="4"/>
        <v/>
      </c>
      <c r="L31" s="22">
        <f>(1-SUM(L6:L30))</f>
        <v>0.23928842741068879</v>
      </c>
      <c r="M31" s="178">
        <f t="shared" si="6"/>
        <v>0</v>
      </c>
      <c r="N31" s="167">
        <f>M31*I83</f>
        <v>0</v>
      </c>
      <c r="P31" s="22"/>
      <c r="Q31" s="236" t="s">
        <v>142</v>
      </c>
      <c r="R31" s="232">
        <f t="shared" si="24"/>
        <v>0</v>
      </c>
      <c r="S31" s="232">
        <f t="shared" si="24"/>
        <v>0</v>
      </c>
      <c r="T31" s="232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9">
        <f>SUM(B6:B30)</f>
        <v>1.3281669291407221</v>
      </c>
      <c r="C32" s="29">
        <f>SUM(C6:C31)</f>
        <v>0.67029569455220872</v>
      </c>
      <c r="D32" s="24">
        <f>SUM(D6:D30)</f>
        <v>18.336195196930372</v>
      </c>
      <c r="E32" s="2"/>
      <c r="F32" s="2"/>
      <c r="H32" s="17"/>
      <c r="I32" s="22">
        <f>SUM(I6:I30)</f>
        <v>6.9298606990256362</v>
      </c>
      <c r="J32" s="17"/>
      <c r="L32" s="22">
        <f>SUM(L6:L30)</f>
        <v>0.76071157258931121</v>
      </c>
      <c r="M32" s="23"/>
      <c r="N32" s="56"/>
      <c r="O32" s="2"/>
      <c r="P32" s="22"/>
      <c r="Q32" s="232" t="s">
        <v>143</v>
      </c>
      <c r="R32" s="232">
        <f t="shared" si="24"/>
        <v>0</v>
      </c>
      <c r="S32" s="232">
        <f t="shared" si="24"/>
        <v>0</v>
      </c>
      <c r="T32" s="232">
        <f t="shared" si="24"/>
        <v>0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4.359664133610637E-2</v>
      </c>
      <c r="K33" s="14"/>
      <c r="L33" s="11"/>
      <c r="M33" s="30"/>
      <c r="N33" s="168" t="s">
        <v>87</v>
      </c>
      <c r="O33" s="2"/>
      <c r="P33" s="2"/>
      <c r="Q33" s="236"/>
      <c r="R33" s="232"/>
      <c r="S33" s="232"/>
      <c r="T33" s="232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50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0"/>
      <c r="S36" s="240"/>
      <c r="T36" s="249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IF(Poor!A37=0,"",Poor!A37)</f>
        <v>Cattle sales - local: no. sold</v>
      </c>
      <c r="B37" s="104">
        <f>IF([1]Summ!$J1072="",0,[1]Summ!$J1072)</f>
        <v>22350</v>
      </c>
      <c r="C37" s="104">
        <f>IF([1]Summ!$K1072="",0,[1]Summ!$K1072)</f>
        <v>0</v>
      </c>
      <c r="D37" s="38">
        <f t="shared" ref="D37:D64" si="25">B37+C37</f>
        <v>22350</v>
      </c>
      <c r="E37" s="75">
        <f>Middle!E37</f>
        <v>0.5</v>
      </c>
      <c r="F37" s="75">
        <f>Middle!F37</f>
        <v>1.18</v>
      </c>
      <c r="G37" s="75">
        <f>Middle!G37</f>
        <v>1.65</v>
      </c>
      <c r="H37" s="24">
        <f t="shared" ref="H37:H52" si="26">(E37*F37)</f>
        <v>0.59</v>
      </c>
      <c r="I37" s="39">
        <f t="shared" ref="I37:I52" si="27">D37*H37</f>
        <v>13186.5</v>
      </c>
      <c r="J37" s="38">
        <f>J91*I$83</f>
        <v>13186.5</v>
      </c>
      <c r="K37" s="40">
        <f t="shared" ref="K37:K52" si="28">(B37/B$65)</f>
        <v>0.10407838243101024</v>
      </c>
      <c r="L37" s="22">
        <f t="shared" ref="L37:L52" si="29">(K37*H37)</f>
        <v>6.1406245634296037E-2</v>
      </c>
      <c r="M37" s="24">
        <f t="shared" ref="M37:M52" si="30">J37/B$65</f>
        <v>6.1406245634296037E-2</v>
      </c>
      <c r="N37" s="264">
        <v>5</v>
      </c>
      <c r="O37" s="2"/>
      <c r="P37" s="2"/>
      <c r="Q37" s="59" t="s">
        <v>71</v>
      </c>
      <c r="R37" s="220">
        <f>IF($B$81=0,0,(SUMIF($N$6:$N$28,$U7,K$6:K$28)*$B$83+SUMIF($N$37:$N$64,$U7,B$37:B$64))*[2]Poor!$B$81/$B$81)</f>
        <v>1745.9206346047977</v>
      </c>
      <c r="S37" s="220">
        <f>IF($B$81=0,0,(SUMIF($N$6:$N$28,$U37,L$6:L$28)+SUMIF($N$91:$N$118,$U37,L$91:L$118))*$I$83*[2]Poor!$B$81/$B$81)</f>
        <v>0</v>
      </c>
      <c r="T37" s="220">
        <f>IF($B$81=0,0,(SUMIF($N$6:$N$28,$U7,M$6:M$28)+SUMIF($N$91:$N$118,$U7,M$91:M$118))*$I$83*[2]Poor!$B$81/$B$81)</f>
        <v>926.40555153396406</v>
      </c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31">1-SUM(Z37,AB37,AD37)</f>
        <v>1</v>
      </c>
      <c r="AG37" s="147">
        <f>$J37*AF37</f>
        <v>13186.5</v>
      </c>
      <c r="AH37" s="123">
        <f>SUM(Z37,AB37,AD37,AF37)</f>
        <v>1</v>
      </c>
      <c r="AI37" s="112">
        <f>SUM(AA37,AC37,AE37,AG37)</f>
        <v>13186.5</v>
      </c>
      <c r="AJ37" s="148">
        <f>(AA37+AC37)</f>
        <v>0</v>
      </c>
      <c r="AK37" s="147">
        <f>(AE37+AG37)</f>
        <v>13186.5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IF(Poor!A38=0,"",Poor!A38)</f>
        <v>Goat sales - local: no. sold</v>
      </c>
      <c r="B38" s="104">
        <f>IF([1]Summ!$J1073="",0,[1]Summ!$J1073)</f>
        <v>8000</v>
      </c>
      <c r="C38" s="104">
        <f>IF([1]Summ!$K1073="",0,[1]Summ!$K1073)</f>
        <v>2500</v>
      </c>
      <c r="D38" s="38">
        <f t="shared" si="25"/>
        <v>10500</v>
      </c>
      <c r="E38" s="75">
        <f>Middle!E38</f>
        <v>0.5</v>
      </c>
      <c r="F38" s="75">
        <f>Middle!F38</f>
        <v>1.18</v>
      </c>
      <c r="G38" s="22">
        <f t="shared" ref="G38:G64" si="32">(G$37)</f>
        <v>1.65</v>
      </c>
      <c r="H38" s="24">
        <f t="shared" si="26"/>
        <v>0.59</v>
      </c>
      <c r="I38" s="39">
        <f t="shared" si="27"/>
        <v>6195</v>
      </c>
      <c r="J38" s="38">
        <f t="shared" ref="J38:J64" si="33">J92*I$83</f>
        <v>4784.3050459707565</v>
      </c>
      <c r="K38" s="40">
        <f t="shared" si="28"/>
        <v>3.725400713414237E-2</v>
      </c>
      <c r="L38" s="22">
        <f t="shared" si="29"/>
        <v>2.1979864209143996E-2</v>
      </c>
      <c r="M38" s="24">
        <f t="shared" si="30"/>
        <v>2.2279316789313486E-2</v>
      </c>
      <c r="N38" s="264">
        <v>5</v>
      </c>
      <c r="O38" s="2"/>
      <c r="P38" s="2"/>
      <c r="Q38" s="59" t="s">
        <v>72</v>
      </c>
      <c r="R38" s="220">
        <f>IF($B$81=0,0,(SUMIF($N$6:$N$28,$U8,K$6:K$28)*$B$83+SUMIF($N$37:$N$64,$U8,B$37:B$64))*[2]Poor!$B$81/$B$81)</f>
        <v>10032</v>
      </c>
      <c r="S38" s="220">
        <f>IF($B$81=0,0,(SUMIF($N$6:$N$28,$U38,L$6:L$28)+SUMIF($N$91:$N$118,$U38,L$91:L$118))*$I$83*[2]Poor!$B$81/$B$81)</f>
        <v>0</v>
      </c>
      <c r="T38" s="220">
        <f>IF($B$81=0,0,(SUMIF($N$6:$N$28,$U8,M$6:M$28)+SUMIF($N$91:$N$118,$U8,M$91:M$118))*$I$83*[2]Poor!$B$81/$B$81)</f>
        <v>3241.7684285637906</v>
      </c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31"/>
        <v>1</v>
      </c>
      <c r="AG38" s="147">
        <f t="shared" ref="AG38:AG64" si="34">$J38*AF38</f>
        <v>4784.3050459707565</v>
      </c>
      <c r="AH38" s="123">
        <f t="shared" ref="AH38:AI58" si="35">SUM(Z38,AB38,AD38,AF38)</f>
        <v>1</v>
      </c>
      <c r="AI38" s="112">
        <f t="shared" si="35"/>
        <v>4784.3050459707565</v>
      </c>
      <c r="AJ38" s="148">
        <f t="shared" ref="AJ38:AJ64" si="36">(AA38+AC38)</f>
        <v>0</v>
      </c>
      <c r="AK38" s="147">
        <f t="shared" ref="AK38:AK64" si="37">(AE38+AG38)</f>
        <v>4784.3050459707565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IF(Poor!A39=0,"",Poor!A39)</f>
        <v>Sheep sales - local: no. sold</v>
      </c>
      <c r="B39" s="104">
        <f>IF([1]Summ!$J1074="",0,[1]Summ!$J1074)</f>
        <v>2400</v>
      </c>
      <c r="C39" s="104">
        <f>IF([1]Summ!$K1074="",0,[1]Summ!$K1074)</f>
        <v>0</v>
      </c>
      <c r="D39" s="38">
        <f t="shared" si="25"/>
        <v>2400</v>
      </c>
      <c r="E39" s="75">
        <f>Middle!E39</f>
        <v>0.5</v>
      </c>
      <c r="F39" s="75">
        <f>Middle!F39</f>
        <v>1.18</v>
      </c>
      <c r="G39" s="22">
        <f t="shared" si="32"/>
        <v>1.65</v>
      </c>
      <c r="H39" s="24">
        <f t="shared" si="26"/>
        <v>0.59</v>
      </c>
      <c r="I39" s="39">
        <f t="shared" si="27"/>
        <v>1416</v>
      </c>
      <c r="J39" s="38">
        <f t="shared" si="33"/>
        <v>1415.9999999999998</v>
      </c>
      <c r="K39" s="40">
        <f t="shared" si="28"/>
        <v>1.1176202140242709E-2</v>
      </c>
      <c r="L39" s="22">
        <f t="shared" si="29"/>
        <v>6.5939592627431987E-3</v>
      </c>
      <c r="M39" s="24">
        <f t="shared" si="30"/>
        <v>6.5939592627431978E-3</v>
      </c>
      <c r="N39" s="264">
        <v>5</v>
      </c>
      <c r="O39" s="2"/>
      <c r="P39" s="2"/>
      <c r="Q39" s="59" t="s">
        <v>73</v>
      </c>
      <c r="R39" s="220">
        <f>IF($B$81=0,0,(SUMIF($N$6:$N$28,$U9,K$6:K$28)*$B$83+SUMIF($N$37:$N$64,$U9,B$37:B$64))*[2]Poor!$B$81/$B$81)</f>
        <v>2032.2021217743129</v>
      </c>
      <c r="S39" s="220">
        <f>IF($B$81=0,0,(SUMIF($N$6:$N$28,$U39,L$6:L$28)+SUMIF($N$91:$N$118,$U39,L$91:L$118))*$I$83*[2]Poor!$B$81/$B$81)</f>
        <v>0</v>
      </c>
      <c r="T39" s="220">
        <f>IF($B$81=0,0,(SUMIF($N$6:$N$28,$U9,M$6:M$28)+SUMIF($N$91:$N$118,$U9,M$91:M$118))*$I$83*[2]Poor!$B$81/$B$81)</f>
        <v>670.6267001855233</v>
      </c>
      <c r="U39" s="56"/>
      <c r="V39" s="56"/>
      <c r="W39" s="115"/>
      <c r="X39" s="118">
        <f>X8</f>
        <v>1</v>
      </c>
      <c r="Y39" s="110"/>
      <c r="Z39" s="122">
        <f>Z8</f>
        <v>1</v>
      </c>
      <c r="AA39" s="147">
        <f>$J39*Z39</f>
        <v>1415.9999999999998</v>
      </c>
      <c r="AB39" s="122">
        <f>AB8</f>
        <v>0</v>
      </c>
      <c r="AC39" s="147">
        <f>$J39*AB39</f>
        <v>0</v>
      </c>
      <c r="AD39" s="122">
        <f>AD8</f>
        <v>0</v>
      </c>
      <c r="AE39" s="147">
        <f>$J39*AD39</f>
        <v>0</v>
      </c>
      <c r="AF39" s="122">
        <f t="shared" si="31"/>
        <v>0</v>
      </c>
      <c r="AG39" s="147">
        <f t="shared" si="34"/>
        <v>0</v>
      </c>
      <c r="AH39" s="123">
        <f t="shared" si="35"/>
        <v>1</v>
      </c>
      <c r="AI39" s="112">
        <f t="shared" si="35"/>
        <v>1415.9999999999998</v>
      </c>
      <c r="AJ39" s="148">
        <f t="shared" si="36"/>
        <v>1415.9999999999998</v>
      </c>
      <c r="AK39" s="147">
        <f t="shared" si="37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IF(Poor!A40=0,"",Poor!A40)</f>
        <v>Chicken sales: no. sold</v>
      </c>
      <c r="B40" s="104">
        <f>IF([1]Summ!$J1075="",0,[1]Summ!$J1075)</f>
        <v>0</v>
      </c>
      <c r="C40" s="104">
        <f>IF([1]Summ!$K1075="",0,[1]Summ!$K1075)</f>
        <v>0</v>
      </c>
      <c r="D40" s="38">
        <f t="shared" si="25"/>
        <v>0</v>
      </c>
      <c r="E40" s="75">
        <f>Middle!E40</f>
        <v>1</v>
      </c>
      <c r="F40" s="75">
        <f>Middle!F40</f>
        <v>1.18</v>
      </c>
      <c r="G40" s="22">
        <f t="shared" si="32"/>
        <v>1.65</v>
      </c>
      <c r="H40" s="24">
        <f t="shared" si="26"/>
        <v>1.18</v>
      </c>
      <c r="I40" s="39">
        <f t="shared" si="27"/>
        <v>0</v>
      </c>
      <c r="J40" s="38">
        <f t="shared" si="33"/>
        <v>0</v>
      </c>
      <c r="K40" s="40">
        <f t="shared" si="28"/>
        <v>0</v>
      </c>
      <c r="L40" s="22">
        <f t="shared" si="29"/>
        <v>0</v>
      </c>
      <c r="M40" s="24">
        <f t="shared" si="30"/>
        <v>0</v>
      </c>
      <c r="N40" s="264">
        <v>5</v>
      </c>
      <c r="O40" s="2"/>
      <c r="P40" s="2"/>
      <c r="Q40" s="59" t="s">
        <v>74</v>
      </c>
      <c r="R40" s="220">
        <f>IF($B$81=0,0,(SUMIF($N$6:$N$28,$U10,K$6:K$28)*$B$83+SUMIF($N$37:$N$64,$U10,B$37:B$64))*[2]Poor!$B$81/$B$81)</f>
        <v>0</v>
      </c>
      <c r="S40" s="220">
        <f>IF($B$81=0,0,(SUMIF($N$6:$N$28,$U40,L$6:L$28)+SUMIF($N$91:$N$118,$U40,L$91:L$118))*$I$83*[2]Poor!$B$81/$B$81)</f>
        <v>0</v>
      </c>
      <c r="T40" s="220">
        <f>IF($B$81=0,0,(SUMIF($N$6:$N$28,$U10,M$6:M$28)+SUMIF($N$91:$N$118,$U10,M$91:M$118))*$I$83*[2]Poor!$B$81/$B$81)</f>
        <v>0</v>
      </c>
      <c r="U40" s="56"/>
      <c r="V40" s="56"/>
      <c r="W40" s="115"/>
      <c r="X40" s="118">
        <f>X9</f>
        <v>1</v>
      </c>
      <c r="Y40" s="110"/>
      <c r="Z40" s="122">
        <f>Z9</f>
        <v>1</v>
      </c>
      <c r="AA40" s="147">
        <f>$J40*Z40</f>
        <v>0</v>
      </c>
      <c r="AB40" s="122">
        <f>AB9</f>
        <v>0</v>
      </c>
      <c r="AC40" s="147">
        <f>$J40*AB40</f>
        <v>0</v>
      </c>
      <c r="AD40" s="122">
        <f>AD9</f>
        <v>0</v>
      </c>
      <c r="AE40" s="147">
        <f>$J40*AD40</f>
        <v>0</v>
      </c>
      <c r="AF40" s="122">
        <f t="shared" si="31"/>
        <v>0</v>
      </c>
      <c r="AG40" s="147">
        <f t="shared" si="34"/>
        <v>0</v>
      </c>
      <c r="AH40" s="123">
        <f t="shared" si="35"/>
        <v>1</v>
      </c>
      <c r="AI40" s="112">
        <f t="shared" si="35"/>
        <v>0</v>
      </c>
      <c r="AJ40" s="148">
        <f t="shared" si="36"/>
        <v>0</v>
      </c>
      <c r="AK40" s="147">
        <f t="shared" si="37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IF(Poor!A41=0,"",Poor!A41)</f>
        <v>Maize: kg produced</v>
      </c>
      <c r="B41" s="104">
        <f>IF([1]Summ!$J1076="",0,[1]Summ!$J1076)</f>
        <v>3600</v>
      </c>
      <c r="C41" s="104">
        <f>IF([1]Summ!$K1076="",0,[1]Summ!$K1076)</f>
        <v>-3600</v>
      </c>
      <c r="D41" s="38">
        <f t="shared" si="25"/>
        <v>0</v>
      </c>
      <c r="E41" s="75">
        <f>Middle!E41</f>
        <v>0.3</v>
      </c>
      <c r="F41" s="75">
        <f>Middle!F41</f>
        <v>1.4</v>
      </c>
      <c r="G41" s="22">
        <f t="shared" si="32"/>
        <v>1.65</v>
      </c>
      <c r="H41" s="24">
        <f t="shared" si="26"/>
        <v>0.42</v>
      </c>
      <c r="I41" s="39">
        <f t="shared" si="27"/>
        <v>0</v>
      </c>
      <c r="J41" s="38">
        <f t="shared" si="33"/>
        <v>1446.0818782998072</v>
      </c>
      <c r="K41" s="40">
        <f t="shared" si="28"/>
        <v>1.6764303210364064E-2</v>
      </c>
      <c r="L41" s="22">
        <f t="shared" si="29"/>
        <v>7.0410073483529066E-3</v>
      </c>
      <c r="M41" s="24">
        <f t="shared" si="30"/>
        <v>6.7340430763418758E-3</v>
      </c>
      <c r="N41" s="264">
        <v>2</v>
      </c>
      <c r="O41" s="2"/>
      <c r="P41" s="2"/>
      <c r="Q41" s="59" t="s">
        <v>75</v>
      </c>
      <c r="R41" s="220">
        <f>IF($B$81=0,0,(SUMIF($N$6:$N$28,$U11,K$6:K$28)*$B$83+SUMIF($N$37:$N$64,$U11,B$37:B$64))*[2]Poor!$B$81/$B$81)</f>
        <v>32750</v>
      </c>
      <c r="S41" s="220">
        <f>IF($B$81=0,0,(SUMIF($N$6:$N$28,$U41,L$6:L$28)+SUMIF($N$91:$N$118,$U41,L$91:L$118))*$I$83*[2]Poor!$B$81/$B$81)</f>
        <v>0</v>
      </c>
      <c r="T41" s="220">
        <f>IF($B$81=0,0,(SUMIF($N$6:$N$28,$U11,M$6:M$28)+SUMIF($N$91:$N$118,$U11,M$91:M$118))*$I$83*[2]Poor!$B$81/$B$81)</f>
        <v>19386.805045970756</v>
      </c>
      <c r="U41" s="56"/>
      <c r="V41" s="56"/>
      <c r="W41" s="115"/>
      <c r="X41" s="118">
        <f>X11</f>
        <v>1</v>
      </c>
      <c r="Y41" s="110"/>
      <c r="Z41" s="122">
        <f>Z11</f>
        <v>0</v>
      </c>
      <c r="AA41" s="147">
        <f>$J41*Z41</f>
        <v>0</v>
      </c>
      <c r="AB41" s="122">
        <f>AB11</f>
        <v>0</v>
      </c>
      <c r="AC41" s="147">
        <f>$J41*AB41</f>
        <v>0</v>
      </c>
      <c r="AD41" s="122">
        <f>AD11</f>
        <v>0</v>
      </c>
      <c r="AE41" s="147">
        <f>$J41*AD41</f>
        <v>0</v>
      </c>
      <c r="AF41" s="122">
        <f t="shared" si="31"/>
        <v>1</v>
      </c>
      <c r="AG41" s="147">
        <f t="shared" si="34"/>
        <v>1446.0818782998072</v>
      </c>
      <c r="AH41" s="123">
        <f t="shared" si="35"/>
        <v>1</v>
      </c>
      <c r="AI41" s="112">
        <f t="shared" si="35"/>
        <v>1446.0818782998072</v>
      </c>
      <c r="AJ41" s="148">
        <f t="shared" si="36"/>
        <v>0</v>
      </c>
      <c r="AK41" s="147">
        <f t="shared" si="37"/>
        <v>1446.0818782998072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IF(Poor!A42=0,"",Poor!A42)</f>
        <v>Beans: kg produced</v>
      </c>
      <c r="B42" s="104">
        <f>IF([1]Summ!$J1077="",0,[1]Summ!$J1077)</f>
        <v>6000</v>
      </c>
      <c r="C42" s="104">
        <f>IF([1]Summ!$K1077="",0,[1]Summ!$K1077)</f>
        <v>0</v>
      </c>
      <c r="D42" s="38">
        <f t="shared" si="25"/>
        <v>6000</v>
      </c>
      <c r="E42" s="75">
        <f>Middle!E42</f>
        <v>0.2</v>
      </c>
      <c r="F42" s="75">
        <f>Middle!F42</f>
        <v>1.4</v>
      </c>
      <c r="G42" s="22">
        <f t="shared" si="32"/>
        <v>1.65</v>
      </c>
      <c r="H42" s="24">
        <f t="shared" si="26"/>
        <v>0.27999999999999997</v>
      </c>
      <c r="I42" s="39">
        <f t="shared" si="27"/>
        <v>1679.9999999999998</v>
      </c>
      <c r="J42" s="38">
        <f t="shared" si="33"/>
        <v>1679.9999999999995</v>
      </c>
      <c r="K42" s="40">
        <f t="shared" si="28"/>
        <v>2.7940505350606774E-2</v>
      </c>
      <c r="L42" s="22">
        <f t="shared" si="29"/>
        <v>7.8233414981698952E-3</v>
      </c>
      <c r="M42" s="24">
        <f t="shared" si="30"/>
        <v>7.8233414981698952E-3</v>
      </c>
      <c r="N42" s="264">
        <v>2</v>
      </c>
      <c r="O42" s="2"/>
      <c r="P42" s="2"/>
      <c r="Q42" s="126" t="s">
        <v>124</v>
      </c>
      <c r="R42" s="220">
        <f>IF($B$81=0,0,(SUMIF($N$6:$N$28,$U12,K$6:K$28)*$B$83+SUMIF($N$37:$N$64,$U12,B$37:B$64))*[2]Poor!$B$81/$B$81)</f>
        <v>0</v>
      </c>
      <c r="S42" s="220">
        <f>IF($B$81=0,0,(SUMIF($N$6:$N$28,$U42,L$6:L$28)+SUMIF($N$91:$N$118,$U42,L$91:L$118))*$I$83*[2]Poor!$B$81/$B$81)</f>
        <v>0</v>
      </c>
      <c r="T42" s="220">
        <f>IF($B$81=0,0,(SUMIF($N$6:$N$28,$U12,M$6:M$28)+SUMIF($N$91:$N$118,$U12,M$91:M$118))*$I$83*[2]Poor!$B$81/$B$81)</f>
        <v>0</v>
      </c>
      <c r="U42" s="56"/>
      <c r="V42" s="56"/>
      <c r="W42" s="115"/>
      <c r="X42" s="118"/>
      <c r="Y42" s="110"/>
      <c r="Z42" s="156">
        <f>Poor!Z42</f>
        <v>0.25</v>
      </c>
      <c r="AA42" s="147">
        <f t="shared" ref="AA42:AA64" si="38">$J42*Z42</f>
        <v>419.99999999999989</v>
      </c>
      <c r="AB42" s="156">
        <f>Poor!AB42</f>
        <v>0</v>
      </c>
      <c r="AC42" s="147">
        <f t="shared" ref="AC42:AC64" si="39">$J42*AB42</f>
        <v>0</v>
      </c>
      <c r="AD42" s="156">
        <f>Poor!AD42</f>
        <v>0.5</v>
      </c>
      <c r="AE42" s="147">
        <f t="shared" ref="AE42:AE64" si="40">$J42*AD42</f>
        <v>839.99999999999977</v>
      </c>
      <c r="AF42" s="122">
        <f t="shared" si="31"/>
        <v>0.25</v>
      </c>
      <c r="AG42" s="147">
        <f t="shared" si="34"/>
        <v>419.99999999999989</v>
      </c>
      <c r="AH42" s="123">
        <f t="shared" si="35"/>
        <v>1</v>
      </c>
      <c r="AI42" s="112">
        <f t="shared" si="35"/>
        <v>1679.9999999999995</v>
      </c>
      <c r="AJ42" s="148">
        <f t="shared" si="36"/>
        <v>419.99999999999989</v>
      </c>
      <c r="AK42" s="147">
        <f t="shared" si="37"/>
        <v>1259.9999999999995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IF(Poor!A43=0,"",Poor!A43)</f>
        <v>potatoes: kg produced</v>
      </c>
      <c r="B43" s="104">
        <f>IF([1]Summ!$J1078="",0,[1]Summ!$J1078)</f>
        <v>432</v>
      </c>
      <c r="C43" s="104">
        <f>IF([1]Summ!$K1078="",0,[1]Summ!$K1078)</f>
        <v>-432</v>
      </c>
      <c r="D43" s="38">
        <f t="shared" si="25"/>
        <v>0</v>
      </c>
      <c r="E43" s="75">
        <f>Middle!E43</f>
        <v>0.2</v>
      </c>
      <c r="F43" s="75">
        <f>Middle!F43</f>
        <v>1.4</v>
      </c>
      <c r="G43" s="22">
        <f t="shared" si="32"/>
        <v>1.65</v>
      </c>
      <c r="H43" s="24">
        <f t="shared" si="26"/>
        <v>0.27999999999999997</v>
      </c>
      <c r="I43" s="39">
        <f t="shared" si="27"/>
        <v>0</v>
      </c>
      <c r="J43" s="38">
        <f t="shared" si="33"/>
        <v>115.68655026398454</v>
      </c>
      <c r="K43" s="40">
        <f t="shared" si="28"/>
        <v>2.0117163852436878E-3</v>
      </c>
      <c r="L43" s="22">
        <f t="shared" si="29"/>
        <v>5.6328058786823249E-4</v>
      </c>
      <c r="M43" s="24">
        <f t="shared" si="30"/>
        <v>5.3872344610734991E-4</v>
      </c>
      <c r="N43" s="264">
        <v>2</v>
      </c>
      <c r="O43" s="2"/>
      <c r="P43" s="2"/>
      <c r="Q43" s="59" t="s">
        <v>76</v>
      </c>
      <c r="R43" s="220">
        <f>IF($B$81=0,0,(SUMIF($N$6:$N$28,$U13,K$6:K$28)*$B$83+SUMIF($N$37:$N$64,$U13,B$37:B$64))*[2]Poor!$B$81/$B$81)</f>
        <v>0</v>
      </c>
      <c r="S43" s="220">
        <f>IF($B$81=0,0,(SUMIF($N$6:$N$28,$U43,L$6:L$28)+SUMIF($N$91:$N$118,$U43,L$91:L$118))*$I$83*[2]Poor!$B$81/$B$81)</f>
        <v>0</v>
      </c>
      <c r="T43" s="220">
        <f>IF($B$81=0,0,(SUMIF($N$6:$N$28,$U13,M$6:M$28)+SUMIF($N$91:$N$118,$U13,M$91:M$118))*$I$83*[2]Poor!$B$81/$B$81)</f>
        <v>0</v>
      </c>
      <c r="U43" s="56"/>
      <c r="V43" s="56"/>
      <c r="W43" s="115"/>
      <c r="X43" s="118"/>
      <c r="Y43" s="110"/>
      <c r="Z43" s="156">
        <f>Poor!Z43</f>
        <v>0.25</v>
      </c>
      <c r="AA43" s="147">
        <f t="shared" si="38"/>
        <v>28.921637565996136</v>
      </c>
      <c r="AB43" s="156">
        <f>Poor!AB43</f>
        <v>0.25</v>
      </c>
      <c r="AC43" s="147">
        <f t="shared" si="39"/>
        <v>28.921637565996136</v>
      </c>
      <c r="AD43" s="156">
        <f>Poor!AD43</f>
        <v>0.25</v>
      </c>
      <c r="AE43" s="147">
        <f t="shared" si="40"/>
        <v>28.921637565996136</v>
      </c>
      <c r="AF43" s="122">
        <f t="shared" si="31"/>
        <v>0.25</v>
      </c>
      <c r="AG43" s="147">
        <f t="shared" si="34"/>
        <v>28.921637565996136</v>
      </c>
      <c r="AH43" s="123">
        <f t="shared" si="35"/>
        <v>1</v>
      </c>
      <c r="AI43" s="112">
        <f t="shared" si="35"/>
        <v>115.68655026398454</v>
      </c>
      <c r="AJ43" s="148">
        <f t="shared" si="36"/>
        <v>57.843275131992272</v>
      </c>
      <c r="AK43" s="147">
        <f t="shared" si="37"/>
        <v>57.843275131992272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IF(Poor!A44=0,"",Poor!A44)</f>
        <v>Agricultural cash income -- see Data2</v>
      </c>
      <c r="B44" s="104">
        <f>IF([1]Summ!$J1079="",0,[1]Summ!$J1079)</f>
        <v>0</v>
      </c>
      <c r="C44" s="104">
        <f>IF([1]Summ!$K1079="",0,[1]Summ!$K1079)</f>
        <v>0</v>
      </c>
      <c r="D44" s="38">
        <f t="shared" si="25"/>
        <v>0</v>
      </c>
      <c r="E44" s="75">
        <f>Middle!E44</f>
        <v>0.5</v>
      </c>
      <c r="F44" s="75">
        <f>Middle!F44</f>
        <v>1.1100000000000001</v>
      </c>
      <c r="G44" s="22">
        <f t="shared" si="32"/>
        <v>1.65</v>
      </c>
      <c r="H44" s="24">
        <f t="shared" si="26"/>
        <v>0.55500000000000005</v>
      </c>
      <c r="I44" s="39">
        <f t="shared" si="27"/>
        <v>0</v>
      </c>
      <c r="J44" s="38">
        <f t="shared" si="33"/>
        <v>0</v>
      </c>
      <c r="K44" s="40">
        <f t="shared" si="28"/>
        <v>0</v>
      </c>
      <c r="L44" s="22">
        <f t="shared" si="29"/>
        <v>0</v>
      </c>
      <c r="M44" s="24">
        <f t="shared" si="30"/>
        <v>0</v>
      </c>
      <c r="N44" s="264">
        <v>7</v>
      </c>
      <c r="O44" s="2"/>
      <c r="P44" s="2"/>
      <c r="Q44" s="126" t="s">
        <v>77</v>
      </c>
      <c r="R44" s="220">
        <f>IF($B$81=0,0,(SUMIF($N$6:$N$28,$U14,K$6:K$28)*$B$83+SUMIF($N$37:$N$64,$U14,B$37:B$64))*[2]Poor!$B$81/$B$81)</f>
        <v>75600</v>
      </c>
      <c r="S44" s="220">
        <f>IF($B$81=0,0,(SUMIF($N$6:$N$28,$U44,L$6:L$28)+SUMIF($N$91:$N$118,$U44,L$91:L$118))*$I$83*[2]Poor!$B$81/$B$81)</f>
        <v>0</v>
      </c>
      <c r="T44" s="220">
        <f>IF($B$81=0,0,(SUMIF($N$6:$N$28,$U14,M$6:M$28)+SUMIF($N$91:$N$118,$U14,M$91:M$118))*$I$83*[2]Poor!$B$81/$B$81)</f>
        <v>35683.199999999997</v>
      </c>
      <c r="U44" s="56"/>
      <c r="V44" s="56"/>
      <c r="W44" s="117"/>
      <c r="X44" s="118"/>
      <c r="Y44" s="110"/>
      <c r="Z44" s="156">
        <f>Poor!Z44</f>
        <v>0.25</v>
      </c>
      <c r="AA44" s="147">
        <f t="shared" si="38"/>
        <v>0</v>
      </c>
      <c r="AB44" s="156">
        <f>Poor!AB44</f>
        <v>0.25</v>
      </c>
      <c r="AC44" s="147">
        <f t="shared" si="39"/>
        <v>0</v>
      </c>
      <c r="AD44" s="156">
        <f>Poor!AD44</f>
        <v>0.25</v>
      </c>
      <c r="AE44" s="147">
        <f t="shared" si="40"/>
        <v>0</v>
      </c>
      <c r="AF44" s="122">
        <f t="shared" si="31"/>
        <v>0.25</v>
      </c>
      <c r="AG44" s="147">
        <f t="shared" si="34"/>
        <v>0</v>
      </c>
      <c r="AH44" s="123">
        <f t="shared" si="35"/>
        <v>1</v>
      </c>
      <c r="AI44" s="112">
        <f t="shared" si="35"/>
        <v>0</v>
      </c>
      <c r="AJ44" s="148">
        <f t="shared" si="36"/>
        <v>0</v>
      </c>
      <c r="AK44" s="147">
        <f t="shared" si="37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IF(Poor!A45=0,"",Poor!A45)</f>
        <v>Construction cash income -- see Data2</v>
      </c>
      <c r="B45" s="104">
        <f>IF([1]Summ!$J1080="",0,[1]Summ!$J1080)</f>
        <v>0</v>
      </c>
      <c r="C45" s="104">
        <f>IF([1]Summ!$K1080="",0,[1]Summ!$K1080)</f>
        <v>0</v>
      </c>
      <c r="D45" s="38">
        <f t="shared" si="25"/>
        <v>0</v>
      </c>
      <c r="E45" s="75">
        <f>Middle!E45</f>
        <v>0.5</v>
      </c>
      <c r="F45" s="75">
        <f>Middle!F45</f>
        <v>1.1100000000000001</v>
      </c>
      <c r="G45" s="22">
        <f t="shared" si="32"/>
        <v>1.65</v>
      </c>
      <c r="H45" s="24">
        <f t="shared" si="26"/>
        <v>0.55500000000000005</v>
      </c>
      <c r="I45" s="39">
        <f t="shared" si="27"/>
        <v>0</v>
      </c>
      <c r="J45" s="38">
        <f t="shared" si="33"/>
        <v>0</v>
      </c>
      <c r="K45" s="40">
        <f t="shared" si="28"/>
        <v>0</v>
      </c>
      <c r="L45" s="22">
        <f t="shared" si="29"/>
        <v>0</v>
      </c>
      <c r="M45" s="24">
        <f t="shared" si="30"/>
        <v>0</v>
      </c>
      <c r="N45" s="264">
        <v>7</v>
      </c>
      <c r="O45" s="2"/>
      <c r="P45" s="2"/>
      <c r="Q45" s="59" t="s">
        <v>127</v>
      </c>
      <c r="R45" s="220">
        <f>IF($B$81=0,0,(SUMIF($N$6:$N$28,$U15,K$6:K$28)*$B$83+SUMIF($N$37:$N$64,$U15,B$37:B$64))*[2]Poor!$B$81/$B$81)</f>
        <v>0</v>
      </c>
      <c r="S45" s="220">
        <f>IF($B$81=0,0,(SUMIF($N$6:$N$28,$U45,L$6:L$28)+SUMIF($N$91:$N$118,$U45,L$91:L$118))*$I$83*[2]Poor!$B$81/$B$81)</f>
        <v>0</v>
      </c>
      <c r="T45" s="220">
        <f>IF($B$81=0,0,(SUMIF($N$6:$N$28,$U15,M$6:M$28)+SUMIF($N$91:$N$118,$U15,M$91:M$118))*$I$83*[2]Poor!$B$81/$B$81)</f>
        <v>0</v>
      </c>
      <c r="U45" s="56"/>
      <c r="V45" s="56"/>
      <c r="W45" s="110"/>
      <c r="X45" s="118"/>
      <c r="Y45" s="110"/>
      <c r="Z45" s="156">
        <f>Poor!Z45</f>
        <v>0.25</v>
      </c>
      <c r="AA45" s="147">
        <f t="shared" si="38"/>
        <v>0</v>
      </c>
      <c r="AB45" s="156">
        <f>Poor!AB45</f>
        <v>0.25</v>
      </c>
      <c r="AC45" s="147">
        <f t="shared" si="39"/>
        <v>0</v>
      </c>
      <c r="AD45" s="156">
        <f>Poor!AD45</f>
        <v>0.25</v>
      </c>
      <c r="AE45" s="147">
        <f t="shared" si="40"/>
        <v>0</v>
      </c>
      <c r="AF45" s="122">
        <f t="shared" si="31"/>
        <v>0.25</v>
      </c>
      <c r="AG45" s="147">
        <f t="shared" si="34"/>
        <v>0</v>
      </c>
      <c r="AH45" s="123">
        <f t="shared" si="35"/>
        <v>1</v>
      </c>
      <c r="AI45" s="112">
        <f t="shared" si="35"/>
        <v>0</v>
      </c>
      <c r="AJ45" s="148">
        <f t="shared" si="36"/>
        <v>0</v>
      </c>
      <c r="AK45" s="147">
        <f t="shared" si="37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IF(Poor!A46=0,"",Poor!A46)</f>
        <v>Domestic work cash income -- see Data2</v>
      </c>
      <c r="B46" s="104">
        <f>IF([1]Summ!$J1081="",0,[1]Summ!$J1081)</f>
        <v>0</v>
      </c>
      <c r="C46" s="104">
        <f>IF([1]Summ!$K1081="",0,[1]Summ!$K1081)</f>
        <v>0</v>
      </c>
      <c r="D46" s="38">
        <f t="shared" si="25"/>
        <v>0</v>
      </c>
      <c r="E46" s="75">
        <f>Middle!E46</f>
        <v>0.5</v>
      </c>
      <c r="F46" s="75">
        <f>Middle!F46</f>
        <v>1.1100000000000001</v>
      </c>
      <c r="G46" s="22">
        <f t="shared" si="32"/>
        <v>1.65</v>
      </c>
      <c r="H46" s="24">
        <f t="shared" si="26"/>
        <v>0.55500000000000005</v>
      </c>
      <c r="I46" s="39">
        <f t="shared" si="27"/>
        <v>0</v>
      </c>
      <c r="J46" s="38">
        <f t="shared" si="33"/>
        <v>0</v>
      </c>
      <c r="K46" s="40">
        <f t="shared" si="28"/>
        <v>0</v>
      </c>
      <c r="L46" s="22">
        <f t="shared" si="29"/>
        <v>0</v>
      </c>
      <c r="M46" s="24">
        <f t="shared" si="30"/>
        <v>0</v>
      </c>
      <c r="N46" s="264">
        <v>7</v>
      </c>
      <c r="O46" s="2"/>
      <c r="P46" s="2"/>
      <c r="Q46" s="126" t="s">
        <v>78</v>
      </c>
      <c r="R46" s="220">
        <f>IF($B$81=0,0,(SUMIF($N$6:$N$28,$U16,K$6:K$28)*$B$83+SUMIF($N$37:$N$64,$U16,B$37:B$64))*[2]Poor!$B$81/$B$81)</f>
        <v>0</v>
      </c>
      <c r="S46" s="220">
        <f>IF($B$81=0,0,(SUMIF($N$6:$N$28,$U46,L$6:L$28)+SUMIF($N$91:$N$118,$U46,L$91:L$118))*$I$83*[2]Poor!$B$81/$B$81)</f>
        <v>0</v>
      </c>
      <c r="T46" s="220">
        <f>IF($B$81=0,0,(SUMIF($N$6:$N$28,$U16,M$6:M$28)+SUMIF($N$91:$N$118,$U16,M$91:M$118))*$I$83*[2]Poor!$B$81/$B$81)</f>
        <v>0</v>
      </c>
      <c r="U46" s="56"/>
      <c r="V46" s="56"/>
      <c r="W46" s="110"/>
      <c r="X46" s="118"/>
      <c r="Y46" s="110"/>
      <c r="Z46" s="156">
        <f>Poor!Z46</f>
        <v>0.25</v>
      </c>
      <c r="AA46" s="147">
        <f t="shared" si="38"/>
        <v>0</v>
      </c>
      <c r="AB46" s="156">
        <f>Poor!AB46</f>
        <v>0.25</v>
      </c>
      <c r="AC46" s="147">
        <f t="shared" si="39"/>
        <v>0</v>
      </c>
      <c r="AD46" s="156">
        <f>Poor!AD46</f>
        <v>0.25</v>
      </c>
      <c r="AE46" s="147">
        <f t="shared" si="40"/>
        <v>0</v>
      </c>
      <c r="AF46" s="122">
        <f t="shared" si="31"/>
        <v>0.25</v>
      </c>
      <c r="AG46" s="147">
        <f t="shared" si="34"/>
        <v>0</v>
      </c>
      <c r="AH46" s="123">
        <f t="shared" si="35"/>
        <v>1</v>
      </c>
      <c r="AI46" s="112">
        <f t="shared" si="35"/>
        <v>0</v>
      </c>
      <c r="AJ46" s="148">
        <f t="shared" si="36"/>
        <v>0</v>
      </c>
      <c r="AK46" s="147">
        <f t="shared" si="37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IF(Poor!A47=0,"",Poor!A47)</f>
        <v>Labour migration(formal employment): no. people per HH</v>
      </c>
      <c r="B47" s="104">
        <f>IF([1]Summ!$J1082="",0,[1]Summ!$J1082)</f>
        <v>75600</v>
      </c>
      <c r="C47" s="104">
        <f>IF([1]Summ!$K1082="",0,[1]Summ!$K1082)</f>
        <v>0</v>
      </c>
      <c r="D47" s="38">
        <f t="shared" si="25"/>
        <v>75600</v>
      </c>
      <c r="E47" s="75">
        <f>Middle!E47</f>
        <v>0.4</v>
      </c>
      <c r="F47" s="75">
        <f>Middle!F47</f>
        <v>1.18</v>
      </c>
      <c r="G47" s="22">
        <f t="shared" si="32"/>
        <v>1.65</v>
      </c>
      <c r="H47" s="24">
        <f t="shared" si="26"/>
        <v>0.47199999999999998</v>
      </c>
      <c r="I47" s="39">
        <f t="shared" si="27"/>
        <v>35683.199999999997</v>
      </c>
      <c r="J47" s="38">
        <f t="shared" si="33"/>
        <v>35683.199999999997</v>
      </c>
      <c r="K47" s="40">
        <f t="shared" si="28"/>
        <v>0.35205036741764534</v>
      </c>
      <c r="L47" s="22">
        <f t="shared" si="29"/>
        <v>0.1661677734211286</v>
      </c>
      <c r="M47" s="24">
        <f t="shared" si="30"/>
        <v>0.1661677734211286</v>
      </c>
      <c r="N47" s="264">
        <v>8</v>
      </c>
      <c r="O47" s="2"/>
      <c r="P47" s="2"/>
      <c r="Q47" s="126" t="s">
        <v>125</v>
      </c>
      <c r="R47" s="220">
        <f>IF($B$81=0,0,(SUMIF($N$6:$N$28,$U17,K$6:K$28)*$B$83+SUMIF($N$37:$N$64,$U17,B$37:B$64))*[2]Poor!$B$81/$B$81)</f>
        <v>62700</v>
      </c>
      <c r="S47" s="220">
        <f>IF($B$81=0,0,(SUMIF($N$6:$N$28,$U47,L$6:L$28)+SUMIF($N$91:$N$118,$U47,L$91:L$118))*$I$83*[2]Poor!$B$81/$B$81)</f>
        <v>0</v>
      </c>
      <c r="T47" s="220">
        <f>IF($B$81=0,0,(SUMIF($N$6:$N$28,$U17,M$6:M$28)+SUMIF($N$91:$N$118,$U17,M$91:M$118))*$I$83*[2]Poor!$B$81/$B$81)</f>
        <v>59188.800000000003</v>
      </c>
      <c r="U47" s="56"/>
      <c r="V47" s="56"/>
      <c r="W47" s="110"/>
      <c r="X47" s="118"/>
      <c r="Y47" s="110"/>
      <c r="Z47" s="156">
        <f>Poor!Z47</f>
        <v>0.25</v>
      </c>
      <c r="AA47" s="147">
        <f t="shared" si="38"/>
        <v>8920.7999999999993</v>
      </c>
      <c r="AB47" s="156">
        <f>Poor!AB47</f>
        <v>0.25</v>
      </c>
      <c r="AC47" s="147">
        <f t="shared" si="39"/>
        <v>8920.7999999999993</v>
      </c>
      <c r="AD47" s="156">
        <f>Poor!AD47</f>
        <v>0.25</v>
      </c>
      <c r="AE47" s="147">
        <f t="shared" si="40"/>
        <v>8920.7999999999993</v>
      </c>
      <c r="AF47" s="122">
        <f t="shared" si="31"/>
        <v>0.25</v>
      </c>
      <c r="AG47" s="147">
        <f t="shared" si="34"/>
        <v>8920.7999999999993</v>
      </c>
      <c r="AH47" s="123">
        <f t="shared" si="35"/>
        <v>1</v>
      </c>
      <c r="AI47" s="112">
        <f t="shared" si="35"/>
        <v>35683.199999999997</v>
      </c>
      <c r="AJ47" s="148">
        <f t="shared" si="36"/>
        <v>17841.599999999999</v>
      </c>
      <c r="AK47" s="147">
        <f t="shared" si="37"/>
        <v>17841.599999999999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IF(Poor!A48=0,"",Poor!A48)</f>
        <v>Small business -- see Data2</v>
      </c>
      <c r="B48" s="104">
        <f>IF([1]Summ!$J1083="",0,[1]Summ!$J1083)</f>
        <v>62700</v>
      </c>
      <c r="C48" s="104">
        <f>IF([1]Summ!$K1083="",0,[1]Summ!$K1083)</f>
        <v>0</v>
      </c>
      <c r="D48" s="38">
        <f t="shared" si="25"/>
        <v>62700</v>
      </c>
      <c r="E48" s="75">
        <f>Middle!E48</f>
        <v>0.8</v>
      </c>
      <c r="F48" s="75">
        <f>Middle!F48</f>
        <v>1.18</v>
      </c>
      <c r="G48" s="22">
        <f t="shared" si="32"/>
        <v>1.65</v>
      </c>
      <c r="H48" s="24">
        <f t="shared" si="26"/>
        <v>0.94399999999999995</v>
      </c>
      <c r="I48" s="39">
        <f t="shared" si="27"/>
        <v>59188.799999999996</v>
      </c>
      <c r="J48" s="38">
        <f t="shared" si="33"/>
        <v>59188.800000000003</v>
      </c>
      <c r="K48" s="40">
        <f t="shared" si="28"/>
        <v>0.29197828091384082</v>
      </c>
      <c r="L48" s="22">
        <f t="shared" si="29"/>
        <v>0.27562749718266571</v>
      </c>
      <c r="M48" s="24">
        <f t="shared" si="30"/>
        <v>0.27562749718266571</v>
      </c>
      <c r="N48" s="264">
        <v>11</v>
      </c>
      <c r="O48" s="2"/>
      <c r="P48" s="2"/>
      <c r="Q48" s="59" t="s">
        <v>79</v>
      </c>
      <c r="R48" s="220">
        <f>IF($B$81=0,0,(SUMIF($N$6:$N$28,$U18,K$6:K$28)*$B$83+SUMIF($N$37:$N$64,$U18,B$37:B$64))*[2]Poor!$B$81/$B$81)</f>
        <v>0</v>
      </c>
      <c r="S48" s="220">
        <f>IF($B$81=0,0,(SUMIF($N$6:$N$28,$U48,L$6:L$28)+SUMIF($N$91:$N$118,$U48,L$91:L$118))*$I$83*[2]Poor!$B$81/$B$81)</f>
        <v>0</v>
      </c>
      <c r="T48" s="220">
        <f>IF($B$81=0,0,(SUMIF($N$6:$N$28,$U18,M$6:M$28)+SUMIF($N$91:$N$118,$U18,M$91:M$118))*$I$83*[2]Poor!$B$81/$B$81)</f>
        <v>0</v>
      </c>
      <c r="U48" s="56"/>
      <c r="V48" s="56"/>
      <c r="W48" s="110"/>
      <c r="X48" s="118"/>
      <c r="Y48" s="110"/>
      <c r="Z48" s="156">
        <f>Poor!Z48</f>
        <v>0.25</v>
      </c>
      <c r="AA48" s="147">
        <f t="shared" si="38"/>
        <v>14797.2</v>
      </c>
      <c r="AB48" s="156">
        <f>Poor!AB48</f>
        <v>0.25</v>
      </c>
      <c r="AC48" s="147">
        <f t="shared" si="39"/>
        <v>14797.2</v>
      </c>
      <c r="AD48" s="156">
        <f>Poor!AD48</f>
        <v>0.25</v>
      </c>
      <c r="AE48" s="147">
        <f t="shared" si="40"/>
        <v>14797.2</v>
      </c>
      <c r="AF48" s="122">
        <f t="shared" si="31"/>
        <v>0.25</v>
      </c>
      <c r="AG48" s="147">
        <f t="shared" si="34"/>
        <v>14797.2</v>
      </c>
      <c r="AH48" s="123">
        <f t="shared" si="35"/>
        <v>1</v>
      </c>
      <c r="AI48" s="112">
        <f t="shared" si="35"/>
        <v>59188.800000000003</v>
      </c>
      <c r="AJ48" s="148">
        <f t="shared" si="36"/>
        <v>29594.400000000001</v>
      </c>
      <c r="AK48" s="147">
        <f t="shared" si="37"/>
        <v>29594.400000000001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IF(Poor!A49=0,"",Poor!A49)</f>
        <v>Social development -- see Data2</v>
      </c>
      <c r="B49" s="104">
        <f>IF([1]Summ!$J1084="",0,[1]Summ!$J1084)</f>
        <v>7620</v>
      </c>
      <c r="C49" s="104">
        <f>IF([1]Summ!$K1084="",0,[1]Summ!$K1084)</f>
        <v>0</v>
      </c>
      <c r="D49" s="38">
        <f t="shared" si="25"/>
        <v>7620</v>
      </c>
      <c r="E49" s="75">
        <f>Middle!E49</f>
        <v>0</v>
      </c>
      <c r="F49" s="75">
        <f>Middle!F49</f>
        <v>1.18</v>
      </c>
      <c r="G49" s="22">
        <f t="shared" si="32"/>
        <v>1.65</v>
      </c>
      <c r="H49" s="24">
        <f t="shared" si="26"/>
        <v>0</v>
      </c>
      <c r="I49" s="39">
        <f t="shared" si="27"/>
        <v>0</v>
      </c>
      <c r="J49" s="38">
        <f t="shared" si="33"/>
        <v>0</v>
      </c>
      <c r="K49" s="40">
        <f t="shared" si="28"/>
        <v>3.5484441795270605E-2</v>
      </c>
      <c r="L49" s="22">
        <f t="shared" si="29"/>
        <v>0</v>
      </c>
      <c r="M49" s="24">
        <f t="shared" si="30"/>
        <v>0</v>
      </c>
      <c r="N49" s="264">
        <v>14</v>
      </c>
      <c r="O49" s="2"/>
      <c r="P49" s="2"/>
      <c r="Q49" s="59" t="s">
        <v>80</v>
      </c>
      <c r="R49" s="220">
        <f>IF($B$81=0,0,(SUMIF($N$6:$N$28,$U19,K$6:K$28)*$B$83+SUMIF($N$37:$N$64,$U19,B$37:B$64))*[2]Poor!$B$81/$B$81)</f>
        <v>0</v>
      </c>
      <c r="S49" s="220">
        <f>IF($B$81=0,0,(SUMIF($N$6:$N$28,$U49,L$6:L$28)+SUMIF($N$91:$N$118,$U49,L$91:L$118))*$I$83*[2]Poor!$B$81/$B$81)</f>
        <v>0</v>
      </c>
      <c r="T49" s="220">
        <f>IF($B$81=0,0,(SUMIF($N$6:$N$28,$U19,M$6:M$28)+SUMIF($N$91:$N$118,$U19,M$91:M$118))*$I$83*[2]Poor!$B$81/$B$81)</f>
        <v>0</v>
      </c>
      <c r="U49" s="56"/>
      <c r="V49" s="56"/>
      <c r="W49" s="110"/>
      <c r="X49" s="118"/>
      <c r="Y49" s="110"/>
      <c r="Z49" s="156">
        <f>Poor!Z49</f>
        <v>0.25</v>
      </c>
      <c r="AA49" s="147">
        <f t="shared" si="38"/>
        <v>0</v>
      </c>
      <c r="AB49" s="156">
        <f>Poor!AB49</f>
        <v>0.25</v>
      </c>
      <c r="AC49" s="147">
        <f t="shared" si="39"/>
        <v>0</v>
      </c>
      <c r="AD49" s="156">
        <f>Poor!AD49</f>
        <v>0.25</v>
      </c>
      <c r="AE49" s="147">
        <f t="shared" si="40"/>
        <v>0</v>
      </c>
      <c r="AF49" s="122">
        <f t="shared" si="31"/>
        <v>0.25</v>
      </c>
      <c r="AG49" s="147">
        <f t="shared" si="34"/>
        <v>0</v>
      </c>
      <c r="AH49" s="123">
        <f t="shared" si="35"/>
        <v>1</v>
      </c>
      <c r="AI49" s="112">
        <f t="shared" si="35"/>
        <v>0</v>
      </c>
      <c r="AJ49" s="148">
        <f t="shared" si="36"/>
        <v>0</v>
      </c>
      <c r="AK49" s="147">
        <f t="shared" si="37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IF(Poor!A50=0,"",Poor!A50)</f>
        <v>Public works -- see Data2</v>
      </c>
      <c r="B50" s="104">
        <f>IF([1]Summ!$J1085="",0,[1]Summ!$J1085)</f>
        <v>0</v>
      </c>
      <c r="C50" s="104">
        <f>IF([1]Summ!$K1085="",0,[1]Summ!$K1085)</f>
        <v>0</v>
      </c>
      <c r="D50" s="38">
        <f t="shared" si="25"/>
        <v>0</v>
      </c>
      <c r="E50" s="75">
        <f>Middle!E50</f>
        <v>1</v>
      </c>
      <c r="F50" s="75">
        <f>Middle!F50</f>
        <v>1.18</v>
      </c>
      <c r="G50" s="22">
        <f t="shared" si="32"/>
        <v>1.65</v>
      </c>
      <c r="H50" s="24">
        <f t="shared" si="26"/>
        <v>1.18</v>
      </c>
      <c r="I50" s="39">
        <f t="shared" si="27"/>
        <v>0</v>
      </c>
      <c r="J50" s="38">
        <f t="shared" si="33"/>
        <v>0</v>
      </c>
      <c r="K50" s="40">
        <f t="shared" si="28"/>
        <v>0</v>
      </c>
      <c r="L50" s="22">
        <f t="shared" si="29"/>
        <v>0</v>
      </c>
      <c r="M50" s="24">
        <f t="shared" si="30"/>
        <v>0</v>
      </c>
      <c r="N50" s="264">
        <v>9</v>
      </c>
      <c r="O50" s="2"/>
      <c r="P50" s="2"/>
      <c r="Q50" s="59" t="s">
        <v>81</v>
      </c>
      <c r="R50" s="220">
        <f>IF($B$81=0,0,(SUMIF($N$6:$N$28,$U20,K$6:K$28)*$B$83+SUMIF($N$37:$N$64,$U20,B$37:B$64))*[2]Poor!$B$81/$B$81)</f>
        <v>7620</v>
      </c>
      <c r="S50" s="220">
        <f>IF($B$81=0,0,(SUMIF($N$6:$N$28,$U50,L$6:L$28)+SUMIF($N$91:$N$118,$U50,L$91:L$118))*$I$83*[2]Poor!$B$81/$B$81)</f>
        <v>0</v>
      </c>
      <c r="T50" s="220">
        <f>IF($B$81=0,0,(SUMIF($N$6:$N$28,$U20,M$6:M$28)+SUMIF($N$91:$N$118,$U20,M$91:M$118))*$I$83*[2]Poor!$B$81/$B$81)</f>
        <v>0</v>
      </c>
      <c r="U50" s="56"/>
      <c r="V50" s="56"/>
      <c r="W50" s="110"/>
      <c r="X50" s="118"/>
      <c r="Y50" s="110"/>
      <c r="Z50" s="156">
        <f>Poor!Z55</f>
        <v>0.25</v>
      </c>
      <c r="AA50" s="147">
        <f t="shared" si="38"/>
        <v>0</v>
      </c>
      <c r="AB50" s="156">
        <f>Poor!AB55</f>
        <v>0.25</v>
      </c>
      <c r="AC50" s="147">
        <f t="shared" si="39"/>
        <v>0</v>
      </c>
      <c r="AD50" s="156">
        <f>Poor!AD55</f>
        <v>0.25</v>
      </c>
      <c r="AE50" s="147">
        <f t="shared" si="40"/>
        <v>0</v>
      </c>
      <c r="AF50" s="122">
        <f t="shared" si="31"/>
        <v>0.25</v>
      </c>
      <c r="AG50" s="147">
        <f t="shared" si="34"/>
        <v>0</v>
      </c>
      <c r="AH50" s="123">
        <f t="shared" si="35"/>
        <v>1</v>
      </c>
      <c r="AI50" s="112">
        <f t="shared" si="35"/>
        <v>0</v>
      </c>
      <c r="AJ50" s="148">
        <f t="shared" si="36"/>
        <v>0</v>
      </c>
      <c r="AK50" s="147">
        <f t="shared" si="37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IF(Poor!A51=0,"",Poor!A51)</f>
        <v>Gifts/social support: type (Child support, Pension and Foster Care)</v>
      </c>
      <c r="B51" s="104">
        <f>IF([1]Summ!$J1086="",0,[1]Summ!$J1086)</f>
        <v>17040</v>
      </c>
      <c r="C51" s="104">
        <f>IF([1]Summ!$K1086="",0,[1]Summ!$K1086)</f>
        <v>0</v>
      </c>
      <c r="D51" s="38">
        <f t="shared" si="25"/>
        <v>17040</v>
      </c>
      <c r="E51" s="75">
        <f>Middle!E51</f>
        <v>1</v>
      </c>
      <c r="F51" s="75">
        <f>Middle!F51</f>
        <v>1</v>
      </c>
      <c r="G51" s="22">
        <f t="shared" si="32"/>
        <v>1.65</v>
      </c>
      <c r="H51" s="24">
        <f t="shared" si="26"/>
        <v>1</v>
      </c>
      <c r="I51" s="39">
        <f t="shared" si="27"/>
        <v>17040</v>
      </c>
      <c r="J51" s="38">
        <f t="shared" si="33"/>
        <v>17040</v>
      </c>
      <c r="K51" s="40">
        <f t="shared" si="28"/>
        <v>7.9351035195723243E-2</v>
      </c>
      <c r="L51" s="22">
        <f t="shared" si="29"/>
        <v>7.9351035195723243E-2</v>
      </c>
      <c r="M51" s="24">
        <f t="shared" si="30"/>
        <v>7.9351035195723243E-2</v>
      </c>
      <c r="N51" s="264">
        <v>15</v>
      </c>
      <c r="O51" s="2"/>
      <c r="P51" s="2"/>
      <c r="Q51" s="59" t="s">
        <v>82</v>
      </c>
      <c r="R51" s="220">
        <f>IF($B$81=0,0,(SUMIF($N$6:$N$28,$U21,K$6:K$28)*$B$83+SUMIF($N$37:$N$64,$U21,B$37:B$64))*[2]Poor!$B$81/$B$81)</f>
        <v>26040</v>
      </c>
      <c r="S51" s="220">
        <f>IF($B$81=0,0,(SUMIF($N$6:$N$28,$U51,L$6:L$28)+SUMIF($N$91:$N$118,$U51,L$91:L$118))*$I$83*[2]Poor!$B$81/$B$81)</f>
        <v>0</v>
      </c>
      <c r="T51" s="220">
        <f>IF($B$81=0,0,(SUMIF($N$6:$N$28,$U21,M$6:M$28)+SUMIF($N$91:$N$118,$U21,M$91:M$118))*$I$83*[2]Poor!$B$81/$B$81)</f>
        <v>27030.000000000004</v>
      </c>
      <c r="U51" s="56"/>
      <c r="V51" s="56"/>
      <c r="W51" s="110"/>
      <c r="X51" s="118"/>
      <c r="Y51" s="110"/>
      <c r="Z51" s="156">
        <f>Poor!Z56</f>
        <v>0.25</v>
      </c>
      <c r="AA51" s="147">
        <f t="shared" si="38"/>
        <v>4260</v>
      </c>
      <c r="AB51" s="156">
        <f>Poor!AB56</f>
        <v>0.25</v>
      </c>
      <c r="AC51" s="147">
        <f t="shared" si="39"/>
        <v>4260</v>
      </c>
      <c r="AD51" s="156">
        <f>Poor!AD56</f>
        <v>0.25</v>
      </c>
      <c r="AE51" s="147">
        <f t="shared" si="40"/>
        <v>4260</v>
      </c>
      <c r="AF51" s="122">
        <f t="shared" si="31"/>
        <v>0.25</v>
      </c>
      <c r="AG51" s="147">
        <f t="shared" si="34"/>
        <v>4260</v>
      </c>
      <c r="AH51" s="123">
        <f t="shared" si="35"/>
        <v>1</v>
      </c>
      <c r="AI51" s="112">
        <f t="shared" si="35"/>
        <v>17040</v>
      </c>
      <c r="AJ51" s="148">
        <f t="shared" si="36"/>
        <v>8520</v>
      </c>
      <c r="AK51" s="147">
        <f t="shared" si="37"/>
        <v>8520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IF(Poor!A52=0,"",Poor!A52)</f>
        <v>Remittances: no. times per year</v>
      </c>
      <c r="B52" s="104">
        <f>IF([1]Summ!$J1087="",0,[1]Summ!$J1087)</f>
        <v>9000</v>
      </c>
      <c r="C52" s="104">
        <f>IF([1]Summ!$K1087="",0,[1]Summ!$K1087)</f>
        <v>0</v>
      </c>
      <c r="D52" s="38">
        <f t="shared" si="25"/>
        <v>9000</v>
      </c>
      <c r="E52" s="75">
        <f>Middle!E52</f>
        <v>1</v>
      </c>
      <c r="F52" s="75">
        <f>Middle!F52</f>
        <v>1.1100000000000001</v>
      </c>
      <c r="G52" s="22">
        <f t="shared" si="32"/>
        <v>1.65</v>
      </c>
      <c r="H52" s="24">
        <f t="shared" si="26"/>
        <v>1.1100000000000001</v>
      </c>
      <c r="I52" s="39">
        <f t="shared" si="27"/>
        <v>9990</v>
      </c>
      <c r="J52" s="38">
        <f t="shared" si="33"/>
        <v>9990.0000000000018</v>
      </c>
      <c r="K52" s="40">
        <f t="shared" si="28"/>
        <v>4.1910758025910162E-2</v>
      </c>
      <c r="L52" s="22">
        <f t="shared" si="29"/>
        <v>4.6520941408760286E-2</v>
      </c>
      <c r="M52" s="24">
        <f t="shared" si="30"/>
        <v>4.6520941408760286E-2</v>
      </c>
      <c r="N52" s="264">
        <v>15</v>
      </c>
      <c r="O52" s="2"/>
      <c r="P52" s="2"/>
      <c r="Q52" s="59" t="s">
        <v>83</v>
      </c>
      <c r="R52" s="220">
        <f>IF($B$81=0,0,(SUMIF($N$6:$N$28,$U22,K$6:K$28)*$B$83+SUMIF($N$37:$N$64,$U22,B$37:B$64))*[2]Poor!$B$81/$B$81)</f>
        <v>0</v>
      </c>
      <c r="S52" s="220">
        <f>IF($B$81=0,0,(SUMIF($N$6:$N$28,$U52,L$6:L$28)+SUMIF($N$91:$N$118,$U52,L$91:L$118))*$I$83*[2]Poor!$B$81/$B$81)</f>
        <v>0</v>
      </c>
      <c r="T52" s="220">
        <f>IF($B$81=0,0,(SUMIF($N$6:$N$28,$U22,M$6:M$28)+SUMIF($N$91:$N$118,$U22,M$91:M$118))*$I$83*[2]Poor!$B$81/$B$81)</f>
        <v>0</v>
      </c>
      <c r="U52" s="56"/>
      <c r="V52" s="56"/>
      <c r="W52" s="110"/>
      <c r="X52" s="118"/>
      <c r="Y52" s="110"/>
      <c r="Z52" s="156">
        <f>Poor!Z57</f>
        <v>0.25</v>
      </c>
      <c r="AA52" s="147">
        <f t="shared" si="38"/>
        <v>2497.5000000000005</v>
      </c>
      <c r="AB52" s="156">
        <f>Poor!AB57</f>
        <v>0.25</v>
      </c>
      <c r="AC52" s="147">
        <f t="shared" si="39"/>
        <v>2497.5000000000005</v>
      </c>
      <c r="AD52" s="156">
        <f>Poor!AD57</f>
        <v>0.25</v>
      </c>
      <c r="AE52" s="147">
        <f t="shared" si="40"/>
        <v>2497.5000000000005</v>
      </c>
      <c r="AF52" s="122">
        <f t="shared" si="31"/>
        <v>0.25</v>
      </c>
      <c r="AG52" s="147">
        <f t="shared" si="34"/>
        <v>2497.5000000000005</v>
      </c>
      <c r="AH52" s="123">
        <f t="shared" si="35"/>
        <v>1</v>
      </c>
      <c r="AI52" s="112">
        <f t="shared" si="35"/>
        <v>9990.0000000000018</v>
      </c>
      <c r="AJ52" s="148">
        <f t="shared" si="36"/>
        <v>4995.0000000000009</v>
      </c>
      <c r="AK52" s="147">
        <f t="shared" si="37"/>
        <v>4995.0000000000009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 thickBot="1">
      <c r="A53" s="85" t="str">
        <f>IF(Poor!A53=0,"",Poor!A53)</f>
        <v/>
      </c>
      <c r="B53" s="104">
        <f>IF([1]Summ!$J1088="",0,[1]Summ!$J1088)</f>
        <v>0</v>
      </c>
      <c r="C53" s="104">
        <f>IF([1]Summ!$K1088="",0,[1]Summ!$K1088)</f>
        <v>0</v>
      </c>
      <c r="D53" s="38">
        <f t="shared" si="25"/>
        <v>0</v>
      </c>
      <c r="E53" s="75">
        <f>Middle!E53</f>
        <v>1</v>
      </c>
      <c r="F53" s="75">
        <f>Middle!F53</f>
        <v>1</v>
      </c>
      <c r="G53" s="22">
        <f t="shared" si="32"/>
        <v>1.65</v>
      </c>
      <c r="H53" s="24">
        <f t="shared" ref="H53:H64" si="41">(E53*F53)</f>
        <v>1</v>
      </c>
      <c r="I53" s="39">
        <f t="shared" ref="I53:I64" si="42">D53*H53</f>
        <v>0</v>
      </c>
      <c r="J53" s="38">
        <f t="shared" si="33"/>
        <v>0</v>
      </c>
      <c r="K53" s="40">
        <f t="shared" ref="K53:K64" si="43">(B53/B$65)</f>
        <v>0</v>
      </c>
      <c r="L53" s="22">
        <f t="shared" ref="L53:L64" si="44">(K53*H53)</f>
        <v>0</v>
      </c>
      <c r="M53" s="24">
        <f t="shared" ref="M53:M64" si="45">J53/B$65</f>
        <v>0</v>
      </c>
      <c r="N53" s="2"/>
      <c r="O53" s="2"/>
      <c r="P53" s="2"/>
      <c r="Q53" s="171" t="s">
        <v>100</v>
      </c>
      <c r="R53" s="179">
        <f>SUM(R37:R52)</f>
        <v>218520.1227563791</v>
      </c>
      <c r="S53" s="179">
        <f>SUM(S37:S52)</f>
        <v>0</v>
      </c>
      <c r="T53" s="179">
        <f>SUM(T37:T52)</f>
        <v>146127.60572625403</v>
      </c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 thickTop="1">
      <c r="A54" s="85" t="str">
        <f>IF(Poor!A54=0,"",Poor!A54)</f>
        <v/>
      </c>
      <c r="B54" s="104">
        <f>IF([1]Summ!$J1089="",0,[1]Summ!$J1089)</f>
        <v>0</v>
      </c>
      <c r="C54" s="104">
        <f>IF([1]Summ!$K1089="",0,[1]Summ!$K1089)</f>
        <v>0</v>
      </c>
      <c r="D54" s="38">
        <f t="shared" si="25"/>
        <v>0</v>
      </c>
      <c r="E54" s="75">
        <f>Middle!E54</f>
        <v>1</v>
      </c>
      <c r="F54" s="75">
        <f>Middle!F54</f>
        <v>1</v>
      </c>
      <c r="G54" s="22">
        <f t="shared" si="32"/>
        <v>1.65</v>
      </c>
      <c r="H54" s="24">
        <f t="shared" si="41"/>
        <v>1</v>
      </c>
      <c r="I54" s="39">
        <f t="shared" si="42"/>
        <v>0</v>
      </c>
      <c r="J54" s="38">
        <f t="shared" si="33"/>
        <v>0</v>
      </c>
      <c r="K54" s="40">
        <f t="shared" si="43"/>
        <v>0</v>
      </c>
      <c r="L54" s="22">
        <f t="shared" si="44"/>
        <v>0</v>
      </c>
      <c r="M54" s="24">
        <f t="shared" si="45"/>
        <v>0</v>
      </c>
      <c r="N54" s="2"/>
      <c r="O54" s="2"/>
      <c r="P54" s="2"/>
      <c r="Q54" s="59" t="s">
        <v>137</v>
      </c>
      <c r="R54" s="41">
        <f>IF($B$81=0,0,(SUM(($B$70))+((1-$D$29)*$B$83))*[2]Poor!$B$81/$B$81)</f>
        <v>24062.646384067208</v>
      </c>
      <c r="S54" s="41">
        <f>IF($B$81=0,0,(SUM(($B$70*$H$70))+((1-$D$29)*$I$83))*[2]Poor!$B$81/$B$81)</f>
        <v>35969.406972062061</v>
      </c>
      <c r="T54" s="41">
        <f>IF($B$81=0,0,(SUM(($B$70*$H$70))+((1-$D$29)*$I$83))*[2]Poor!$B$81/$B$81)</f>
        <v>35969.406972062061</v>
      </c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IF(Poor!A55=0,"",Poor!A55)</f>
        <v/>
      </c>
      <c r="B55" s="104">
        <f>IF([1]Summ!$J1090="",0,[1]Summ!$J1090)</f>
        <v>0</v>
      </c>
      <c r="C55" s="104">
        <f>IF([1]Summ!$K1090="",0,[1]Summ!$K1090)</f>
        <v>0</v>
      </c>
      <c r="D55" s="38">
        <f t="shared" si="25"/>
        <v>0</v>
      </c>
      <c r="E55" s="75">
        <f>Middle!E55</f>
        <v>1</v>
      </c>
      <c r="F55" s="75">
        <f>Middle!F55</f>
        <v>1</v>
      </c>
      <c r="G55" s="22">
        <f t="shared" si="32"/>
        <v>1.65</v>
      </c>
      <c r="H55" s="24">
        <f t="shared" si="41"/>
        <v>1</v>
      </c>
      <c r="I55" s="39">
        <f t="shared" si="42"/>
        <v>0</v>
      </c>
      <c r="J55" s="38">
        <f t="shared" si="33"/>
        <v>0</v>
      </c>
      <c r="K55" s="40">
        <f t="shared" si="43"/>
        <v>0</v>
      </c>
      <c r="L55" s="22">
        <f t="shared" si="44"/>
        <v>0</v>
      </c>
      <c r="M55" s="24">
        <f t="shared" si="45"/>
        <v>0</v>
      </c>
      <c r="N55" s="2"/>
      <c r="O55" s="2"/>
      <c r="P55" s="2"/>
      <c r="Q55" s="142" t="s">
        <v>138</v>
      </c>
      <c r="R55" s="41">
        <f>IF($B$81=0,0,(SUM(($B$70),($B$71*$H$71))+((1-$D$29)*$B$83))*[2]Poor!$B$81/$B$81)</f>
        <v>42445.473050733883</v>
      </c>
      <c r="S55" s="41">
        <f>IF($B$81=0,0,(SUM(($B$70*$H$70),($B$71*$H$71))+((1-$D$29)*$I$83))*[2]Poor!$B$81/$B$81)</f>
        <v>54352.233638728729</v>
      </c>
      <c r="T55" s="41">
        <f>IF($B$81=0,0,(SUM(($B$70*$H$70),($B$71*$H$71))+((1-$D$29)*$I$83))*[2]Poor!$B$81/$B$81)</f>
        <v>54352.233638728729</v>
      </c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IF(Poor!A56=0,"",Poor!A56)</f>
        <v/>
      </c>
      <c r="B56" s="104">
        <f>IF([1]Summ!$J1091="",0,[1]Summ!$J1091)</f>
        <v>0</v>
      </c>
      <c r="C56" s="104">
        <f>IF([1]Summ!$K1091="",0,[1]Summ!$K1091)</f>
        <v>0</v>
      </c>
      <c r="D56" s="38">
        <f t="shared" si="25"/>
        <v>0</v>
      </c>
      <c r="E56" s="75">
        <f>Middle!E56</f>
        <v>1</v>
      </c>
      <c r="F56" s="75">
        <f>Middle!F56</f>
        <v>1</v>
      </c>
      <c r="G56" s="22">
        <f t="shared" si="32"/>
        <v>1.65</v>
      </c>
      <c r="H56" s="24">
        <f t="shared" si="41"/>
        <v>1</v>
      </c>
      <c r="I56" s="39">
        <f t="shared" si="42"/>
        <v>0</v>
      </c>
      <c r="J56" s="38">
        <f t="shared" si="33"/>
        <v>0</v>
      </c>
      <c r="K56" s="40">
        <f t="shared" si="43"/>
        <v>0</v>
      </c>
      <c r="L56" s="22">
        <f t="shared" si="44"/>
        <v>0</v>
      </c>
      <c r="M56" s="24">
        <f t="shared" si="45"/>
        <v>0</v>
      </c>
      <c r="N56" s="2"/>
      <c r="O56" s="2"/>
      <c r="P56" s="2"/>
      <c r="Q56" s="59" t="s">
        <v>139</v>
      </c>
      <c r="R56" s="41">
        <f>IF($B$81=0,0,(SUM(($B$70),($B$71*$H$71),($B$72*$H$72))+((1-$D$29)*$B$83))*[2]Poor!$B$81/$B$81)</f>
        <v>75183.393050733881</v>
      </c>
      <c r="S56" s="41">
        <f>IF($B$81=0,0,(SUM(($B$70*$H$70),($B$71*$H$71),($B$72*$H$72))+((1-$D$29)*$I$83))*[2]Poor!$B$81/$B$81)</f>
        <v>87090.15363872872</v>
      </c>
      <c r="T56" s="41">
        <f>IF($B$81=0,0,(SUM(($B$70*$H$70),($B$71*$H$71),($B$72*$H$72))+((1-$D$29)*$I$83))*[2]Poor!$B$81/$B$81)</f>
        <v>87090.15363872872</v>
      </c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IF(Poor!A57=0,"",Poor!A57)</f>
        <v/>
      </c>
      <c r="B57" s="104">
        <f>IF([1]Summ!$J1092="",0,[1]Summ!$J1092)</f>
        <v>0</v>
      </c>
      <c r="C57" s="104">
        <f>IF([1]Summ!$K1092="",0,[1]Summ!$K1092)</f>
        <v>0</v>
      </c>
      <c r="D57" s="38">
        <f t="shared" si="25"/>
        <v>0</v>
      </c>
      <c r="E57" s="75">
        <f>Middle!E57</f>
        <v>1</v>
      </c>
      <c r="F57" s="75">
        <f>Middle!F57</f>
        <v>1</v>
      </c>
      <c r="G57" s="22">
        <f t="shared" si="32"/>
        <v>1.65</v>
      </c>
      <c r="H57" s="24">
        <f t="shared" si="41"/>
        <v>1</v>
      </c>
      <c r="I57" s="39">
        <f t="shared" si="42"/>
        <v>0</v>
      </c>
      <c r="J57" s="38">
        <f t="shared" si="33"/>
        <v>0</v>
      </c>
      <c r="K57" s="40">
        <f t="shared" si="43"/>
        <v>0</v>
      </c>
      <c r="L57" s="22">
        <f t="shared" si="44"/>
        <v>0</v>
      </c>
      <c r="M57" s="24">
        <f t="shared" si="45"/>
        <v>0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IF(Poor!A58=0,"",Poor!A58)</f>
        <v/>
      </c>
      <c r="B58" s="104">
        <f>IF([1]Summ!$J1093="",0,[1]Summ!$J1093)</f>
        <v>0</v>
      </c>
      <c r="C58" s="104">
        <f>IF([1]Summ!$K1093="",0,[1]Summ!$K1093)</f>
        <v>0</v>
      </c>
      <c r="D58" s="38">
        <f t="shared" si="25"/>
        <v>0</v>
      </c>
      <c r="E58" s="75">
        <f>Middle!E58</f>
        <v>1</v>
      </c>
      <c r="F58" s="75">
        <f>Middle!F58</f>
        <v>1</v>
      </c>
      <c r="G58" s="22">
        <f t="shared" si="32"/>
        <v>1.65</v>
      </c>
      <c r="H58" s="24">
        <f t="shared" si="41"/>
        <v>1</v>
      </c>
      <c r="I58" s="39">
        <f t="shared" si="42"/>
        <v>0</v>
      </c>
      <c r="J58" s="38">
        <f t="shared" si="33"/>
        <v>0</v>
      </c>
      <c r="K58" s="40">
        <f t="shared" si="43"/>
        <v>0</v>
      </c>
      <c r="L58" s="22">
        <f t="shared" si="44"/>
        <v>0</v>
      </c>
      <c r="M58" s="24">
        <f t="shared" si="45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56">
        <f>Poor!Z58</f>
        <v>0.25</v>
      </c>
      <c r="AA58" s="147">
        <f t="shared" si="38"/>
        <v>0</v>
      </c>
      <c r="AB58" s="156">
        <f>Poor!AB58</f>
        <v>0.25</v>
      </c>
      <c r="AC58" s="147">
        <f t="shared" si="39"/>
        <v>0</v>
      </c>
      <c r="AD58" s="156">
        <f>Poor!AD58</f>
        <v>0.25</v>
      </c>
      <c r="AE58" s="147">
        <f t="shared" si="40"/>
        <v>0</v>
      </c>
      <c r="AF58" s="122">
        <f t="shared" si="31"/>
        <v>0.25</v>
      </c>
      <c r="AG58" s="147">
        <f t="shared" si="34"/>
        <v>0</v>
      </c>
      <c r="AH58" s="123">
        <f t="shared" si="35"/>
        <v>1</v>
      </c>
      <c r="AI58" s="112">
        <f t="shared" si="35"/>
        <v>0</v>
      </c>
      <c r="AJ58" s="148">
        <f t="shared" si="36"/>
        <v>0</v>
      </c>
      <c r="AK58" s="147">
        <f t="shared" si="37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IF(Poor!A59=0,"",Poor!A59)</f>
        <v/>
      </c>
      <c r="B59" s="104">
        <f>IF([1]Summ!$J1094="",0,[1]Summ!$J1094)</f>
        <v>0</v>
      </c>
      <c r="C59" s="104">
        <f>IF([1]Summ!$K1094="",0,[1]Summ!$K1094)</f>
        <v>0</v>
      </c>
      <c r="D59" s="38">
        <f t="shared" si="25"/>
        <v>0</v>
      </c>
      <c r="E59" s="75">
        <f>Middle!E59</f>
        <v>1</v>
      </c>
      <c r="F59" s="75">
        <f>Middle!F59</f>
        <v>1</v>
      </c>
      <c r="G59" s="22">
        <f t="shared" si="32"/>
        <v>1.65</v>
      </c>
      <c r="H59" s="24">
        <f t="shared" si="41"/>
        <v>1</v>
      </c>
      <c r="I59" s="39">
        <f t="shared" si="42"/>
        <v>0</v>
      </c>
      <c r="J59" s="38">
        <f t="shared" si="33"/>
        <v>0</v>
      </c>
      <c r="K59" s="40">
        <f t="shared" si="43"/>
        <v>0</v>
      </c>
      <c r="L59" s="22">
        <f t="shared" si="44"/>
        <v>0</v>
      </c>
      <c r="M59" s="24">
        <f t="shared" si="45"/>
        <v>0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38"/>
        <v>0</v>
      </c>
      <c r="AB59" s="156">
        <f>Poor!AB59</f>
        <v>0.25</v>
      </c>
      <c r="AC59" s="147">
        <f t="shared" si="39"/>
        <v>0</v>
      </c>
      <c r="AD59" s="156">
        <f>Poor!AD59</f>
        <v>0.25</v>
      </c>
      <c r="AE59" s="147">
        <f t="shared" si="40"/>
        <v>0</v>
      </c>
      <c r="AF59" s="122">
        <f t="shared" si="31"/>
        <v>0.25</v>
      </c>
      <c r="AG59" s="147">
        <f t="shared" si="34"/>
        <v>0</v>
      </c>
      <c r="AH59" s="123">
        <f t="shared" ref="AH59:AI64" si="46">SUM(Z59,AB59,AD59,AF59)</f>
        <v>1</v>
      </c>
      <c r="AI59" s="112">
        <f t="shared" si="46"/>
        <v>0</v>
      </c>
      <c r="AJ59" s="148">
        <f t="shared" si="36"/>
        <v>0</v>
      </c>
      <c r="AK59" s="147">
        <f t="shared" si="37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IF(Poor!A60=0,"",Poor!A60)</f>
        <v/>
      </c>
      <c r="B60" s="104">
        <f>IF([1]Summ!$J1095="",0,[1]Summ!$J1095)</f>
        <v>0</v>
      </c>
      <c r="C60" s="104">
        <f>IF([1]Summ!$K1095="",0,[1]Summ!$K1095)</f>
        <v>0</v>
      </c>
      <c r="D60" s="38">
        <f t="shared" si="25"/>
        <v>0</v>
      </c>
      <c r="E60" s="75">
        <f>Middle!E60</f>
        <v>1</v>
      </c>
      <c r="F60" s="75">
        <f>Middle!F60</f>
        <v>1</v>
      </c>
      <c r="G60" s="22">
        <f t="shared" si="32"/>
        <v>1.65</v>
      </c>
      <c r="H60" s="24">
        <f t="shared" si="41"/>
        <v>1</v>
      </c>
      <c r="I60" s="39">
        <f t="shared" si="42"/>
        <v>0</v>
      </c>
      <c r="J60" s="38">
        <f t="shared" si="33"/>
        <v>0</v>
      </c>
      <c r="K60" s="40">
        <f t="shared" si="43"/>
        <v>0</v>
      </c>
      <c r="L60" s="22">
        <f t="shared" si="44"/>
        <v>0</v>
      </c>
      <c r="M60" s="24">
        <f t="shared" si="45"/>
        <v>0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38"/>
        <v>0</v>
      </c>
      <c r="AB60" s="156">
        <f>Poor!AB60</f>
        <v>0.25</v>
      </c>
      <c r="AC60" s="147">
        <f t="shared" si="39"/>
        <v>0</v>
      </c>
      <c r="AD60" s="156">
        <f>Poor!AD60</f>
        <v>0.25</v>
      </c>
      <c r="AE60" s="147">
        <f t="shared" si="40"/>
        <v>0</v>
      </c>
      <c r="AF60" s="122">
        <f t="shared" si="31"/>
        <v>0.25</v>
      </c>
      <c r="AG60" s="147">
        <f t="shared" si="34"/>
        <v>0</v>
      </c>
      <c r="AH60" s="123">
        <f t="shared" si="46"/>
        <v>1</v>
      </c>
      <c r="AI60" s="112">
        <f t="shared" si="46"/>
        <v>0</v>
      </c>
      <c r="AJ60" s="148">
        <f t="shared" si="36"/>
        <v>0</v>
      </c>
      <c r="AK60" s="147">
        <f t="shared" si="37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IF(Poor!A61=0,"",Poor!A61)</f>
        <v/>
      </c>
      <c r="B61" s="104">
        <f>IF([1]Summ!$J1096="",0,[1]Summ!$J1096)</f>
        <v>0</v>
      </c>
      <c r="C61" s="104">
        <f>IF([1]Summ!$K1096="",0,[1]Summ!$K1096)</f>
        <v>0</v>
      </c>
      <c r="D61" s="38">
        <f t="shared" si="25"/>
        <v>0</v>
      </c>
      <c r="E61" s="75">
        <f>Middle!E61</f>
        <v>1</v>
      </c>
      <c r="F61" s="75">
        <f>Middle!F61</f>
        <v>1</v>
      </c>
      <c r="G61" s="22">
        <f t="shared" si="32"/>
        <v>1.65</v>
      </c>
      <c r="H61" s="24">
        <f t="shared" si="41"/>
        <v>1</v>
      </c>
      <c r="I61" s="39">
        <f t="shared" si="42"/>
        <v>0</v>
      </c>
      <c r="J61" s="38">
        <f t="shared" si="33"/>
        <v>0</v>
      </c>
      <c r="K61" s="40">
        <f t="shared" si="43"/>
        <v>0</v>
      </c>
      <c r="L61" s="22">
        <f t="shared" si="44"/>
        <v>0</v>
      </c>
      <c r="M61" s="24">
        <f t="shared" si="4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38"/>
        <v>0</v>
      </c>
      <c r="AB61" s="156">
        <f>Poor!AB61</f>
        <v>0.25</v>
      </c>
      <c r="AC61" s="147">
        <f t="shared" si="39"/>
        <v>0</v>
      </c>
      <c r="AD61" s="156">
        <f>Poor!AD61</f>
        <v>0.25</v>
      </c>
      <c r="AE61" s="147">
        <f t="shared" si="40"/>
        <v>0</v>
      </c>
      <c r="AF61" s="122">
        <f t="shared" si="31"/>
        <v>0.25</v>
      </c>
      <c r="AG61" s="147">
        <f t="shared" si="34"/>
        <v>0</v>
      </c>
      <c r="AH61" s="123">
        <f t="shared" si="46"/>
        <v>1</v>
      </c>
      <c r="AI61" s="112">
        <f t="shared" si="46"/>
        <v>0</v>
      </c>
      <c r="AJ61" s="148">
        <f t="shared" si="36"/>
        <v>0</v>
      </c>
      <c r="AK61" s="147">
        <f t="shared" si="37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IF(Poor!A62=0,"",Poor!A62)</f>
        <v/>
      </c>
      <c r="B62" s="104">
        <f>IF([1]Summ!$J1097="",0,[1]Summ!$J1097)</f>
        <v>0</v>
      </c>
      <c r="C62" s="104">
        <f>IF([1]Summ!$K1097="",0,[1]Summ!$K1097)</f>
        <v>0</v>
      </c>
      <c r="D62" s="38">
        <f t="shared" si="25"/>
        <v>0</v>
      </c>
      <c r="E62" s="75">
        <f>Middle!E62</f>
        <v>1</v>
      </c>
      <c r="F62" s="75">
        <f>Middle!F62</f>
        <v>1</v>
      </c>
      <c r="G62" s="22">
        <f t="shared" si="32"/>
        <v>1.65</v>
      </c>
      <c r="H62" s="24">
        <f t="shared" si="41"/>
        <v>1</v>
      </c>
      <c r="I62" s="39">
        <f t="shared" si="42"/>
        <v>0</v>
      </c>
      <c r="J62" s="38">
        <f t="shared" si="33"/>
        <v>0</v>
      </c>
      <c r="K62" s="40">
        <f t="shared" si="43"/>
        <v>0</v>
      </c>
      <c r="L62" s="22">
        <f t="shared" si="44"/>
        <v>0</v>
      </c>
      <c r="M62" s="24">
        <f t="shared" si="4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38"/>
        <v>0</v>
      </c>
      <c r="AB62" s="156">
        <f>Poor!AB62</f>
        <v>0.25</v>
      </c>
      <c r="AC62" s="147">
        <f t="shared" si="39"/>
        <v>0</v>
      </c>
      <c r="AD62" s="156">
        <f>Poor!AD62</f>
        <v>0.25</v>
      </c>
      <c r="AE62" s="147">
        <f t="shared" si="40"/>
        <v>0</v>
      </c>
      <c r="AF62" s="122">
        <f t="shared" si="31"/>
        <v>0.25</v>
      </c>
      <c r="AG62" s="147">
        <f t="shared" si="34"/>
        <v>0</v>
      </c>
      <c r="AH62" s="123">
        <f t="shared" si="46"/>
        <v>1</v>
      </c>
      <c r="AI62" s="112">
        <f t="shared" si="46"/>
        <v>0</v>
      </c>
      <c r="AJ62" s="148">
        <f t="shared" si="36"/>
        <v>0</v>
      </c>
      <c r="AK62" s="147">
        <f t="shared" si="37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IF(Poor!A63=0,"",Poor!A63)</f>
        <v/>
      </c>
      <c r="B63" s="104">
        <f>IF([1]Summ!$J1098="",0,[1]Summ!$J1098)</f>
        <v>0</v>
      </c>
      <c r="C63" s="104">
        <f>IF([1]Summ!$K1098="",0,[1]Summ!$K1098)</f>
        <v>0</v>
      </c>
      <c r="D63" s="38">
        <f t="shared" si="25"/>
        <v>0</v>
      </c>
      <c r="E63" s="75">
        <f>Middle!E63</f>
        <v>1</v>
      </c>
      <c r="F63" s="75">
        <f>Middle!F63</f>
        <v>1</v>
      </c>
      <c r="G63" s="22">
        <f t="shared" si="32"/>
        <v>1.65</v>
      </c>
      <c r="H63" s="24">
        <f t="shared" si="41"/>
        <v>1</v>
      </c>
      <c r="I63" s="39">
        <f t="shared" si="42"/>
        <v>0</v>
      </c>
      <c r="J63" s="38">
        <f t="shared" si="33"/>
        <v>0</v>
      </c>
      <c r="K63" s="40">
        <f t="shared" si="43"/>
        <v>0</v>
      </c>
      <c r="L63" s="22">
        <f t="shared" si="44"/>
        <v>0</v>
      </c>
      <c r="M63" s="24">
        <f t="shared" si="4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38"/>
        <v>0</v>
      </c>
      <c r="AB63" s="156">
        <f>Poor!AB63</f>
        <v>0.25</v>
      </c>
      <c r="AC63" s="147">
        <f t="shared" si="39"/>
        <v>0</v>
      </c>
      <c r="AD63" s="156">
        <f>Poor!AD63</f>
        <v>0.25</v>
      </c>
      <c r="AE63" s="147">
        <f t="shared" si="40"/>
        <v>0</v>
      </c>
      <c r="AF63" s="122">
        <f t="shared" si="31"/>
        <v>0.25</v>
      </c>
      <c r="AG63" s="147">
        <f t="shared" si="34"/>
        <v>0</v>
      </c>
      <c r="AH63" s="123">
        <f t="shared" si="46"/>
        <v>1</v>
      </c>
      <c r="AI63" s="112">
        <f t="shared" si="46"/>
        <v>0</v>
      </c>
      <c r="AJ63" s="148">
        <f t="shared" si="36"/>
        <v>0</v>
      </c>
      <c r="AK63" s="147">
        <f t="shared" si="37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IF(Poor!A64=0,"",Poor!A64)</f>
        <v/>
      </c>
      <c r="B64" s="104">
        <f>IF([1]Summ!$J1099="",0,[1]Summ!$J1099)</f>
        <v>0</v>
      </c>
      <c r="C64" s="104">
        <f>IF([1]Summ!$K1099="",0,[1]Summ!$K1099)</f>
        <v>0</v>
      </c>
      <c r="D64" s="38">
        <f t="shared" si="25"/>
        <v>0</v>
      </c>
      <c r="E64" s="75">
        <f>Middle!E64</f>
        <v>1</v>
      </c>
      <c r="F64" s="75">
        <f>Middle!F64</f>
        <v>1</v>
      </c>
      <c r="G64" s="22">
        <f t="shared" si="32"/>
        <v>1.65</v>
      </c>
      <c r="H64" s="24">
        <f t="shared" si="41"/>
        <v>1</v>
      </c>
      <c r="I64" s="39">
        <f t="shared" si="42"/>
        <v>0</v>
      </c>
      <c r="J64" s="38">
        <f t="shared" si="33"/>
        <v>0</v>
      </c>
      <c r="K64" s="40">
        <f t="shared" si="43"/>
        <v>0</v>
      </c>
      <c r="L64" s="22">
        <f t="shared" si="44"/>
        <v>0</v>
      </c>
      <c r="M64" s="24">
        <f t="shared" si="4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38"/>
        <v>0</v>
      </c>
      <c r="AB64" s="156">
        <f>Poor!AB64</f>
        <v>0.25</v>
      </c>
      <c r="AC64" s="149">
        <f t="shared" si="39"/>
        <v>0</v>
      </c>
      <c r="AD64" s="156">
        <f>Poor!AD64</f>
        <v>0.25</v>
      </c>
      <c r="AE64" s="149">
        <f t="shared" si="40"/>
        <v>0</v>
      </c>
      <c r="AF64" s="150">
        <f t="shared" si="31"/>
        <v>0.25</v>
      </c>
      <c r="AG64" s="149">
        <f t="shared" si="34"/>
        <v>0</v>
      </c>
      <c r="AH64" s="123">
        <f t="shared" si="46"/>
        <v>1</v>
      </c>
      <c r="AI64" s="112">
        <f t="shared" si="46"/>
        <v>0</v>
      </c>
      <c r="AJ64" s="151">
        <f t="shared" si="36"/>
        <v>0</v>
      </c>
      <c r="AK64" s="149">
        <f t="shared" si="37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214742</v>
      </c>
      <c r="C65" s="39">
        <f>SUM(C37:C64)</f>
        <v>-1532</v>
      </c>
      <c r="D65" s="42">
        <f>SUM(D37:D64)</f>
        <v>213210</v>
      </c>
      <c r="E65" s="32"/>
      <c r="F65" s="32"/>
      <c r="G65" s="32"/>
      <c r="H65" s="31"/>
      <c r="I65" s="39">
        <f>SUM(I37:I64)</f>
        <v>144379.5</v>
      </c>
      <c r="J65" s="39">
        <f>SUM(J37:J64)</f>
        <v>144530.57347453455</v>
      </c>
      <c r="K65" s="40">
        <f>SUM(K37:K64)</f>
        <v>1.0000000000000002</v>
      </c>
      <c r="L65" s="22">
        <f>SUM(L37:L64)</f>
        <v>0.67307494574885207</v>
      </c>
      <c r="M65" s="24">
        <f>SUM(M37:M64)</f>
        <v>0.67304287691524967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32340.421637565996</v>
      </c>
      <c r="AB65" s="137"/>
      <c r="AC65" s="153">
        <f>SUM(AC37:AC64)</f>
        <v>30504.421637565996</v>
      </c>
      <c r="AD65" s="137"/>
      <c r="AE65" s="153">
        <f>SUM(AE37:AE64)</f>
        <v>31344.421637565996</v>
      </c>
      <c r="AF65" s="137"/>
      <c r="AG65" s="153">
        <f>SUM(AG37:AG64)</f>
        <v>50341.308561836559</v>
      </c>
      <c r="AH65" s="137"/>
      <c r="AI65" s="153">
        <f>SUM(AI37:AI64)</f>
        <v>144530.57347453455</v>
      </c>
      <c r="AJ65" s="153">
        <f>SUM(AJ37:AJ64)</f>
        <v>62844.843275131992</v>
      </c>
      <c r="AK65" s="153">
        <f>SUM(AK37:AK64)</f>
        <v>81685.730199402547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51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[1]Summ!$J1031</f>
        <v>14935.838246595322</v>
      </c>
      <c r="C70" s="39"/>
      <c r="D70" s="38"/>
      <c r="E70" s="75">
        <f>Middle!E70</f>
        <v>1</v>
      </c>
      <c r="F70" s="75">
        <f>Middle!F70</f>
        <v>1.4</v>
      </c>
      <c r="G70" s="22"/>
      <c r="H70" s="24">
        <f>(E70*F70)</f>
        <v>1.4</v>
      </c>
      <c r="I70" s="39">
        <f>I124*I$83</f>
        <v>20910.173545233451</v>
      </c>
      <c r="J70" s="51">
        <f>J124*I$83</f>
        <v>20910.173545233451</v>
      </c>
      <c r="K70" s="40">
        <f>B70/B$76</f>
        <v>6.9552478074132312E-2</v>
      </c>
      <c r="L70" s="22">
        <f>(L124*G$37*F$9/F$7)/B$130</f>
        <v>9.7373469303785265E-2</v>
      </c>
      <c r="M70" s="24">
        <f>J70/B$76</f>
        <v>9.7373469303785237E-2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5227.5433863083626</v>
      </c>
      <c r="AB70" s="156">
        <f>Poor!AB70</f>
        <v>0.25</v>
      </c>
      <c r="AC70" s="147">
        <f>$J70*AB70</f>
        <v>5227.5433863083626</v>
      </c>
      <c r="AD70" s="156">
        <f>Poor!AD70</f>
        <v>0.25</v>
      </c>
      <c r="AE70" s="147">
        <f>$J70*AD70</f>
        <v>5227.5433863083626</v>
      </c>
      <c r="AF70" s="156">
        <f>Poor!AF70</f>
        <v>0.25</v>
      </c>
      <c r="AG70" s="147">
        <f>$J70*AF70</f>
        <v>5227.5433863083626</v>
      </c>
      <c r="AH70" s="155">
        <f>SUM(Z70,AB70,AD70,AF70)</f>
        <v>1</v>
      </c>
      <c r="AI70" s="147">
        <f>SUM(AA70,AC70,AE70,AG70)</f>
        <v>20910.173545233451</v>
      </c>
      <c r="AJ70" s="148">
        <f>(AA70+AC70)</f>
        <v>10455.086772616725</v>
      </c>
      <c r="AK70" s="147">
        <f>(AE70+AG70)</f>
        <v>10455.086772616725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[1]Summ!$J1032</f>
        <v>15578.666666666668</v>
      </c>
      <c r="C71" s="39"/>
      <c r="D71" s="38"/>
      <c r="E71" s="75">
        <f>Middle!E71</f>
        <v>1</v>
      </c>
      <c r="F71" s="75">
        <f>Middle!F71</f>
        <v>1.18</v>
      </c>
      <c r="G71" s="22"/>
      <c r="H71" s="24">
        <f t="shared" ref="H71:H72" si="47">(E71*F71)</f>
        <v>1.18</v>
      </c>
      <c r="I71" s="39">
        <f t="shared" ref="I71:I72" si="48">I125*I$83</f>
        <v>18382.826666666671</v>
      </c>
      <c r="J71" s="51">
        <f t="shared" ref="J71:J72" si="49">J125*I$83</f>
        <v>18382.826666666671</v>
      </c>
      <c r="K71" s="40"/>
      <c r="L71" s="22"/>
      <c r="M71" s="24"/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[1]Summ!$J1033</f>
        <v>27744</v>
      </c>
      <c r="C72" s="39"/>
      <c r="D72" s="38"/>
      <c r="E72" s="75">
        <f>Middle!E72</f>
        <v>1</v>
      </c>
      <c r="F72" s="75">
        <f>Middle!F72</f>
        <v>1.18</v>
      </c>
      <c r="G72" s="22"/>
      <c r="H72" s="24">
        <f t="shared" si="47"/>
        <v>1.18</v>
      </c>
      <c r="I72" s="39">
        <f t="shared" si="48"/>
        <v>0</v>
      </c>
      <c r="J72" s="51">
        <f t="shared" si="49"/>
        <v>32737.919999999998</v>
      </c>
      <c r="K72" s="40"/>
      <c r="L72" s="22"/>
      <c r="M72" s="24"/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[1]Summ!$J1034</f>
        <v>11200</v>
      </c>
      <c r="C73" s="39"/>
      <c r="D73" s="38"/>
      <c r="E73" s="75">
        <f>Middle!E73</f>
        <v>1</v>
      </c>
      <c r="F73" s="75">
        <f>Middle!F73</f>
        <v>1.18</v>
      </c>
      <c r="G73" s="22"/>
      <c r="H73" s="24">
        <f>(E73*F73)</f>
        <v>1.18</v>
      </c>
      <c r="I73" s="39">
        <f>I127*I$83</f>
        <v>0</v>
      </c>
      <c r="J73" s="51">
        <f>J127*I$83</f>
        <v>13216</v>
      </c>
      <c r="K73" s="40">
        <f>B73/B$76</f>
        <v>5.2155609987799313E-2</v>
      </c>
      <c r="L73" s="22">
        <f>(L127*G$37*F$9/F$7)/B$130</f>
        <v>6.1543619785603201E-2</v>
      </c>
      <c r="M73" s="24">
        <f>J73/B$76</f>
        <v>6.1543619785603187E-2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1189.44</v>
      </c>
      <c r="AB73" s="156">
        <f>Poor!AB73</f>
        <v>0.09</v>
      </c>
      <c r="AC73" s="147">
        <f>$H$73*$B$73*AB73</f>
        <v>1189.44</v>
      </c>
      <c r="AD73" s="156">
        <f>Poor!AD73</f>
        <v>0.23</v>
      </c>
      <c r="AE73" s="147">
        <f>$H$73*$B$73*AD73</f>
        <v>3039.6800000000003</v>
      </c>
      <c r="AF73" s="156">
        <f>Poor!AF73</f>
        <v>0.59</v>
      </c>
      <c r="AG73" s="147">
        <f>$H$73*$B$73*AF73</f>
        <v>7797.44</v>
      </c>
      <c r="AH73" s="155">
        <f>SUM(Z73,AB73,AD73,AF73)</f>
        <v>1</v>
      </c>
      <c r="AI73" s="147">
        <f>SUM(AA73,AC73,AE73,AG73)</f>
        <v>13216</v>
      </c>
      <c r="AJ73" s="148">
        <f>(AA73+AC73)</f>
        <v>2378.88</v>
      </c>
      <c r="AK73" s="147">
        <f>(AE73+AG73)</f>
        <v>10837.119999999999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5962.5514190394688</v>
      </c>
      <c r="C74" s="39"/>
      <c r="D74" s="38"/>
      <c r="E74" s="32"/>
      <c r="F74" s="32"/>
      <c r="G74" s="32"/>
      <c r="H74" s="31"/>
      <c r="I74" s="39">
        <f>I128*I$83</f>
        <v>123469.32645476655</v>
      </c>
      <c r="J74" s="51">
        <f>J128*I$83</f>
        <v>8335.0818477507273</v>
      </c>
      <c r="K74" s="40">
        <f>B74/B$76</f>
        <v>2.7766116637823381E-2</v>
      </c>
      <c r="L74" s="22">
        <f>(L128*G$37*F$9/F$7)/B$130</f>
        <v>1.7179898883985047E-2</v>
      </c>
      <c r="M74" s="24">
        <f>J74/B$76</f>
        <v>3.8814399827470765E-2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1500.8362476282209</v>
      </c>
      <c r="AB74" s="156"/>
      <c r="AC74" s="147">
        <f>AC30*$I$83/4</f>
        <v>2427.2417991621851</v>
      </c>
      <c r="AD74" s="156"/>
      <c r="AE74" s="147">
        <f>AE30*$I$83/4</f>
        <v>2374.7366455571323</v>
      </c>
      <c r="AF74" s="156"/>
      <c r="AG74" s="147">
        <f>AG30*$I$83/4</f>
        <v>2032.2671554031899</v>
      </c>
      <c r="AH74" s="155"/>
      <c r="AI74" s="147">
        <f>SUM(AA74,AC74,AE74,AG74)</f>
        <v>8335.0818477507273</v>
      </c>
      <c r="AJ74" s="148">
        <f>(AA74+AC74)</f>
        <v>3928.078046790406</v>
      </c>
      <c r="AK74" s="147">
        <f>(AE74+AG74)</f>
        <v>4407.0038009603222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139320.94366769848</v>
      </c>
      <c r="C75" s="39"/>
      <c r="D75" s="38"/>
      <c r="E75" s="32"/>
      <c r="F75" s="32"/>
      <c r="G75" s="32"/>
      <c r="H75" s="31"/>
      <c r="I75" s="47"/>
      <c r="J75" s="51">
        <f>J129*I$83</f>
        <v>50948.571414883714</v>
      </c>
      <c r="K75" s="40">
        <f>B75/B$76</f>
        <v>0.64878292866648568</v>
      </c>
      <c r="L75" s="22">
        <f>(L129*G$37*F$9/F$7)/B$130</f>
        <v>0.25892137514764318</v>
      </c>
      <c r="M75" s="24">
        <f>J75/B$76</f>
        <v>0.23725480537055496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25612.042003629413</v>
      </c>
      <c r="AB75" s="158"/>
      <c r="AC75" s="149">
        <f>AA75+AC65-SUM(AC70,AC74)</f>
        <v>48461.678455724861</v>
      </c>
      <c r="AD75" s="158"/>
      <c r="AE75" s="149">
        <f>AC75+AE65-SUM(AE70,AE74)</f>
        <v>72203.820061425358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115285.31808155037</v>
      </c>
      <c r="AJ75" s="151">
        <f>AJ76-SUM(AJ70,AJ74)</f>
        <v>48461.678455724861</v>
      </c>
      <c r="AK75" s="149">
        <f>AJ75+AK76-SUM(AK70,AK74)</f>
        <v>115285.31808155036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214742</v>
      </c>
      <c r="C76" s="39"/>
      <c r="D76" s="38"/>
      <c r="E76" s="32"/>
      <c r="F76" s="32"/>
      <c r="G76" s="32"/>
      <c r="H76" s="31"/>
      <c r="I76" s="39">
        <f>I130*I$83</f>
        <v>144379.5</v>
      </c>
      <c r="J76" s="51">
        <f>J130*I$83</f>
        <v>144530.57347453455</v>
      </c>
      <c r="K76" s="40">
        <f>SUM(K70:K75)</f>
        <v>0.79825713336624071</v>
      </c>
      <c r="L76" s="22">
        <f>SUM(L70:L75)</f>
        <v>0.43501836312101672</v>
      </c>
      <c r="M76" s="24">
        <f>SUM(M70:M75)</f>
        <v>0.43498629428741414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32340.421637565996</v>
      </c>
      <c r="AB76" s="137"/>
      <c r="AC76" s="153">
        <f>AC65</f>
        <v>30504.421637565996</v>
      </c>
      <c r="AD76" s="137"/>
      <c r="AE76" s="153">
        <f>AE65</f>
        <v>31344.421637565996</v>
      </c>
      <c r="AF76" s="137"/>
      <c r="AG76" s="153">
        <f>AG65</f>
        <v>50341.308561836559</v>
      </c>
      <c r="AH76" s="137"/>
      <c r="AI76" s="153">
        <f>SUM(AA76,AC76,AE76,AG76)</f>
        <v>144530.57347453455</v>
      </c>
      <c r="AJ76" s="154">
        <f>SUM(AA76,AC76)</f>
        <v>62844.843275131992</v>
      </c>
      <c r="AK76" s="154">
        <f>SUM(AE76,AG76)</f>
        <v>81685.730199402547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18382.82666666665</v>
      </c>
      <c r="J77" s="100">
        <f>J131*I$83</f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25612.042003629413</v>
      </c>
      <c r="AD78" s="112"/>
      <c r="AE78" s="112">
        <f>AC75</f>
        <v>48461.678455724861</v>
      </c>
      <c r="AF78" s="112"/>
      <c r="AG78" s="112">
        <f>AE75</f>
        <v>72203.820061425358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105" t="str">
        <f>[1]Summ!$J1037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27112.878251257633</v>
      </c>
      <c r="AB79" s="112"/>
      <c r="AC79" s="112">
        <f>AA79-AA74+AC65-AC70</f>
        <v>50888.920254887053</v>
      </c>
      <c r="AD79" s="112"/>
      <c r="AE79" s="112">
        <f>AC79-AC74+AE65-AE70</f>
        <v>74578.556706982505</v>
      </c>
      <c r="AF79" s="112"/>
      <c r="AG79" s="112">
        <f>AE79-AE74+AG65-AG70</f>
        <v>117317.58523695357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[1]Summ!$J1038</f>
        <v>0.64638090248077151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8">
        <f>[1]Summ!$J1039</f>
        <v>8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[1]Summ!$J1040</f>
        <v>6.2365204888569377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11771.009806427335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19422.166180605102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4855.5415451512754</v>
      </c>
      <c r="AB83" s="112"/>
      <c r="AC83" s="165">
        <f>$I$83*AB82/4</f>
        <v>4855.5415451512754</v>
      </c>
      <c r="AD83" s="112"/>
      <c r="AE83" s="165">
        <f>$I$83*AD82/4</f>
        <v>4855.5415451512754</v>
      </c>
      <c r="AF83" s="112"/>
      <c r="AG83" s="165">
        <f>$I$83*AF82/4</f>
        <v>4855.5415451512754</v>
      </c>
      <c r="AH83" s="165">
        <f>SUM(AA83,AC83,AE83,AG83)</f>
        <v>19422.166180605102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2">
        <f>B70+((1-D29)*B83)</f>
        <v>24062.646384067208</v>
      </c>
      <c r="C84" s="46"/>
      <c r="D84" s="233"/>
      <c r="E84" s="64"/>
      <c r="F84" s="64"/>
      <c r="G84" s="64"/>
      <c r="H84" s="234">
        <f>IF(B84=0,0,I84/B84)</f>
        <v>1.4948234037914787</v>
      </c>
      <c r="I84" s="232">
        <f>(B70*H70)+((1-(D29*H29))*I83)</f>
        <v>35969.406972062061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[1]Summ!$K$892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Better-off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5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5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>(B37/$B$83)</f>
        <v>1.8987325953798975</v>
      </c>
      <c r="C91" s="75">
        <f>(C37/$B$83)</f>
        <v>0</v>
      </c>
      <c r="D91" s="24">
        <f t="shared" ref="D91" si="51">(B91+C91)</f>
        <v>1.8987325953798975</v>
      </c>
      <c r="H91" s="24">
        <f>(E37*F37/G37*F$7/F$9)</f>
        <v>0.3575757575757576</v>
      </c>
      <c r="I91" s="22">
        <f t="shared" ref="I91" si="52">(D91*H91)</f>
        <v>0.67894074622675127</v>
      </c>
      <c r="J91" s="24">
        <f>IF(I$32&lt;=1+I$131,I91,L91+J$33*(I91-L91))</f>
        <v>0.67894074622675127</v>
      </c>
      <c r="K91" s="22">
        <f t="shared" ref="K91" si="53">(B91)</f>
        <v>1.8987325953798975</v>
      </c>
      <c r="L91" s="22">
        <f t="shared" ref="L91" si="54">(K91*H91)</f>
        <v>0.67894074622675127</v>
      </c>
      <c r="M91" s="225">
        <f t="shared" si="50"/>
        <v>0.67894074622675127</v>
      </c>
      <c r="N91" s="227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Goat sales - local: no. sold</v>
      </c>
      <c r="B92" s="75">
        <f t="shared" ref="B92:C92" si="56">(B38/$B$83)</f>
        <v>0.67963582832390068</v>
      </c>
      <c r="C92" s="75">
        <f t="shared" si="56"/>
        <v>0.21238619635121897</v>
      </c>
      <c r="D92" s="24">
        <f t="shared" ref="D92:D118" si="57">(B92+C92)</f>
        <v>0.8920220246751196</v>
      </c>
      <c r="H92" s="24">
        <f t="shared" ref="H92:H118" si="58">(E38*F38/G38*F$7/F$9)</f>
        <v>0.3575757575757576</v>
      </c>
      <c r="I92" s="22">
        <f t="shared" ref="I92:I118" si="59">(D92*H92)</f>
        <v>0.31896545124746706</v>
      </c>
      <c r="J92" s="24">
        <f t="shared" ref="J92:J118" si="60">IF(I$32&lt;=1+I$131,I92,L92+J$33*(I92-L92))</f>
        <v>0.24633220627822372</v>
      </c>
      <c r="K92" s="22">
        <f t="shared" ref="K92:K118" si="61">(B92)</f>
        <v>0.67963582832390068</v>
      </c>
      <c r="L92" s="22">
        <f t="shared" ref="L92:L118" si="62">(K92*H92)</f>
        <v>0.24302129618854632</v>
      </c>
      <c r="M92" s="225">
        <f t="shared" ref="M92:M118" si="63">(J92)</f>
        <v>0.24633220627822372</v>
      </c>
      <c r="N92" s="227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Sheep sales - local: no. sold</v>
      </c>
      <c r="B93" s="75">
        <f t="shared" ref="B93:C93" si="64">(B39/$B$83)</f>
        <v>0.2038907484971702</v>
      </c>
      <c r="C93" s="75">
        <f t="shared" si="64"/>
        <v>0</v>
      </c>
      <c r="D93" s="24">
        <f t="shared" si="57"/>
        <v>0.2038907484971702</v>
      </c>
      <c r="H93" s="24">
        <f t="shared" si="58"/>
        <v>0.3575757575757576</v>
      </c>
      <c r="I93" s="22">
        <f t="shared" si="59"/>
        <v>7.2906388856563892E-2</v>
      </c>
      <c r="J93" s="24">
        <f t="shared" si="60"/>
        <v>7.2906388856563892E-2</v>
      </c>
      <c r="K93" s="22">
        <f t="shared" si="61"/>
        <v>0.2038907484971702</v>
      </c>
      <c r="L93" s="22">
        <f t="shared" si="62"/>
        <v>7.2906388856563892E-2</v>
      </c>
      <c r="M93" s="225">
        <f t="shared" si="63"/>
        <v>7.2906388856563892E-2</v>
      </c>
      <c r="N93" s="227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Chicken sales: no. sold</v>
      </c>
      <c r="B94" s="75">
        <f t="shared" ref="B94:C94" si="65">(B40/$B$83)</f>
        <v>0</v>
      </c>
      <c r="C94" s="75">
        <f t="shared" si="65"/>
        <v>0</v>
      </c>
      <c r="D94" s="24">
        <f t="shared" si="57"/>
        <v>0</v>
      </c>
      <c r="H94" s="24">
        <f t="shared" si="58"/>
        <v>0.7151515151515152</v>
      </c>
      <c r="I94" s="22">
        <f t="shared" si="59"/>
        <v>0</v>
      </c>
      <c r="J94" s="24">
        <f t="shared" si="60"/>
        <v>0</v>
      </c>
      <c r="K94" s="22">
        <f t="shared" si="61"/>
        <v>0</v>
      </c>
      <c r="L94" s="22">
        <f t="shared" si="62"/>
        <v>0</v>
      </c>
      <c r="M94" s="225">
        <f t="shared" si="63"/>
        <v>0</v>
      </c>
      <c r="N94" s="227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Maize: kg produced</v>
      </c>
      <c r="B95" s="75">
        <f t="shared" ref="B95:C95" si="66">(B41/$B$83)</f>
        <v>0.30583612274575533</v>
      </c>
      <c r="C95" s="75">
        <f t="shared" si="66"/>
        <v>-0.30583612274575533</v>
      </c>
      <c r="D95" s="24">
        <f t="shared" si="57"/>
        <v>0</v>
      </c>
      <c r="H95" s="24">
        <f t="shared" si="58"/>
        <v>0.25454545454545457</v>
      </c>
      <c r="I95" s="22">
        <f t="shared" si="59"/>
        <v>0</v>
      </c>
      <c r="J95" s="24">
        <f t="shared" si="60"/>
        <v>7.4455231453217557E-2</v>
      </c>
      <c r="K95" s="22">
        <f t="shared" si="61"/>
        <v>0.30583612274575533</v>
      </c>
      <c r="L95" s="22">
        <f t="shared" si="62"/>
        <v>7.7849194880737729E-2</v>
      </c>
      <c r="M95" s="225">
        <f t="shared" si="63"/>
        <v>7.4455231453217557E-2</v>
      </c>
      <c r="N95" s="227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Beans: kg produced</v>
      </c>
      <c r="B96" s="75">
        <f t="shared" ref="B96:C96" si="67">(B42/$B$83)</f>
        <v>0.50972687124292548</v>
      </c>
      <c r="C96" s="75">
        <f t="shared" si="67"/>
        <v>0</v>
      </c>
      <c r="D96" s="24">
        <f t="shared" si="57"/>
        <v>0.50972687124292548</v>
      </c>
      <c r="H96" s="24">
        <f t="shared" si="58"/>
        <v>0.16969696969696968</v>
      </c>
      <c r="I96" s="22">
        <f t="shared" si="59"/>
        <v>8.6499105423041886E-2</v>
      </c>
      <c r="J96" s="24">
        <f t="shared" si="60"/>
        <v>8.6499105423041886E-2</v>
      </c>
      <c r="K96" s="22">
        <f t="shared" si="61"/>
        <v>0.50972687124292548</v>
      </c>
      <c r="L96" s="22">
        <f t="shared" si="62"/>
        <v>8.6499105423041886E-2</v>
      </c>
      <c r="M96" s="225">
        <f t="shared" si="63"/>
        <v>8.6499105423041886E-2</v>
      </c>
      <c r="N96" s="227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potatoes: kg produced</v>
      </c>
      <c r="B97" s="75">
        <f t="shared" ref="B97:C97" si="68">(B43/$B$83)</f>
        <v>3.6700334729490636E-2</v>
      </c>
      <c r="C97" s="75">
        <f t="shared" si="68"/>
        <v>-3.6700334729490636E-2</v>
      </c>
      <c r="D97" s="24">
        <f t="shared" si="57"/>
        <v>0</v>
      </c>
      <c r="H97" s="24">
        <f t="shared" si="58"/>
        <v>0.16969696969696968</v>
      </c>
      <c r="I97" s="22">
        <f t="shared" si="59"/>
        <v>0</v>
      </c>
      <c r="J97" s="24">
        <f t="shared" si="60"/>
        <v>5.9564185162574029E-3</v>
      </c>
      <c r="K97" s="22">
        <f t="shared" si="61"/>
        <v>3.6700334729490636E-2</v>
      </c>
      <c r="L97" s="22">
        <f t="shared" si="62"/>
        <v>6.2279355904590163E-3</v>
      </c>
      <c r="M97" s="225">
        <f t="shared" si="63"/>
        <v>5.9564185162574029E-3</v>
      </c>
      <c r="N97" s="227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Agricultural cash income -- see Data2</v>
      </c>
      <c r="B98" s="75">
        <f t="shared" ref="B98:C98" si="69">(B44/$B$83)</f>
        <v>0</v>
      </c>
      <c r="C98" s="75">
        <f t="shared" si="69"/>
        <v>0</v>
      </c>
      <c r="D98" s="24">
        <f t="shared" si="57"/>
        <v>0</v>
      </c>
      <c r="H98" s="24">
        <f t="shared" si="58"/>
        <v>0.33636363636363642</v>
      </c>
      <c r="I98" s="22">
        <f t="shared" si="59"/>
        <v>0</v>
      </c>
      <c r="J98" s="24">
        <f t="shared" si="60"/>
        <v>0</v>
      </c>
      <c r="K98" s="22">
        <f t="shared" si="61"/>
        <v>0</v>
      </c>
      <c r="L98" s="22">
        <f t="shared" si="62"/>
        <v>0</v>
      </c>
      <c r="M98" s="225">
        <f t="shared" si="63"/>
        <v>0</v>
      </c>
      <c r="N98" s="227">
        <v>7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Construction cash income -- see Data2</v>
      </c>
      <c r="B99" s="75">
        <f t="shared" ref="B99:C99" si="70">(B45/$B$83)</f>
        <v>0</v>
      </c>
      <c r="C99" s="75">
        <f t="shared" si="70"/>
        <v>0</v>
      </c>
      <c r="D99" s="24">
        <f t="shared" si="57"/>
        <v>0</v>
      </c>
      <c r="H99" s="24">
        <f t="shared" si="58"/>
        <v>0.33636363636363642</v>
      </c>
      <c r="I99" s="22">
        <f t="shared" si="59"/>
        <v>0</v>
      </c>
      <c r="J99" s="24">
        <f t="shared" si="60"/>
        <v>0</v>
      </c>
      <c r="K99" s="22">
        <f t="shared" si="61"/>
        <v>0</v>
      </c>
      <c r="L99" s="22">
        <f t="shared" si="62"/>
        <v>0</v>
      </c>
      <c r="M99" s="225">
        <f t="shared" si="63"/>
        <v>0</v>
      </c>
      <c r="N99" s="227">
        <v>7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Domestic work cash income -- see Data2</v>
      </c>
      <c r="B100" s="75">
        <f t="shared" ref="B100:C100" si="71">(B46/$B$83)</f>
        <v>0</v>
      </c>
      <c r="C100" s="75">
        <f t="shared" si="71"/>
        <v>0</v>
      </c>
      <c r="D100" s="24">
        <f t="shared" si="57"/>
        <v>0</v>
      </c>
      <c r="H100" s="24">
        <f t="shared" si="58"/>
        <v>0.33636363636363642</v>
      </c>
      <c r="I100" s="22">
        <f t="shared" si="59"/>
        <v>0</v>
      </c>
      <c r="J100" s="24">
        <f t="shared" si="60"/>
        <v>0</v>
      </c>
      <c r="K100" s="22">
        <f t="shared" si="61"/>
        <v>0</v>
      </c>
      <c r="L100" s="22">
        <f t="shared" si="62"/>
        <v>0</v>
      </c>
      <c r="M100" s="225">
        <f t="shared" si="63"/>
        <v>0</v>
      </c>
      <c r="N100" s="227">
        <v>7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Labour migration(formal employment): no. people per HH</v>
      </c>
      <c r="B101" s="75">
        <f t="shared" ref="B101:C101" si="72">(B47/$B$83)</f>
        <v>6.4225585776608618</v>
      </c>
      <c r="C101" s="75">
        <f t="shared" si="72"/>
        <v>0</v>
      </c>
      <c r="D101" s="24">
        <f t="shared" si="57"/>
        <v>6.4225585776608618</v>
      </c>
      <c r="H101" s="24">
        <f t="shared" si="58"/>
        <v>0.28606060606060607</v>
      </c>
      <c r="I101" s="22">
        <f t="shared" si="59"/>
        <v>1.8372409991854102</v>
      </c>
      <c r="J101" s="24">
        <f t="shared" si="60"/>
        <v>1.8372409991854102</v>
      </c>
      <c r="K101" s="22">
        <f t="shared" si="61"/>
        <v>6.4225585776608618</v>
      </c>
      <c r="L101" s="22">
        <f t="shared" si="62"/>
        <v>1.8372409991854102</v>
      </c>
      <c r="M101" s="225">
        <f t="shared" si="63"/>
        <v>1.8372409991854102</v>
      </c>
      <c r="N101" s="227">
        <v>8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Small business -- see Data2</v>
      </c>
      <c r="B102" s="75">
        <f t="shared" ref="B102:C102" si="73">(B48/$B$83)</f>
        <v>5.3266458044885718</v>
      </c>
      <c r="C102" s="75">
        <f t="shared" si="73"/>
        <v>0</v>
      </c>
      <c r="D102" s="24">
        <f t="shared" si="57"/>
        <v>5.3266458044885718</v>
      </c>
      <c r="H102" s="24">
        <f t="shared" si="58"/>
        <v>0.57212121212121214</v>
      </c>
      <c r="I102" s="22">
        <f t="shared" si="59"/>
        <v>3.047487054204371</v>
      </c>
      <c r="J102" s="24">
        <f t="shared" si="60"/>
        <v>3.047487054204371</v>
      </c>
      <c r="K102" s="22">
        <f t="shared" si="61"/>
        <v>5.3266458044885718</v>
      </c>
      <c r="L102" s="22">
        <f t="shared" si="62"/>
        <v>3.047487054204371</v>
      </c>
      <c r="M102" s="225">
        <f t="shared" si="63"/>
        <v>3.047487054204371</v>
      </c>
      <c r="N102" s="227">
        <v>11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Social development -- see Data2</v>
      </c>
      <c r="B103" s="75">
        <f t="shared" ref="B103:C103" si="74">(B49/$B$83)</f>
        <v>0.64735312647851539</v>
      </c>
      <c r="C103" s="75">
        <f t="shared" si="74"/>
        <v>0</v>
      </c>
      <c r="D103" s="24">
        <f t="shared" si="57"/>
        <v>0.64735312647851539</v>
      </c>
      <c r="H103" s="24">
        <f t="shared" si="58"/>
        <v>0</v>
      </c>
      <c r="I103" s="22">
        <f t="shared" si="59"/>
        <v>0</v>
      </c>
      <c r="J103" s="24">
        <f t="shared" si="60"/>
        <v>0</v>
      </c>
      <c r="K103" s="22">
        <f t="shared" si="61"/>
        <v>0.64735312647851539</v>
      </c>
      <c r="L103" s="22">
        <f t="shared" si="62"/>
        <v>0</v>
      </c>
      <c r="M103" s="225">
        <f t="shared" si="63"/>
        <v>0</v>
      </c>
      <c r="N103" s="227">
        <v>14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Public works -- see Data2</v>
      </c>
      <c r="B104" s="75">
        <f t="shared" ref="B104:C104" si="75">(B50/$B$83)</f>
        <v>0</v>
      </c>
      <c r="C104" s="75">
        <f t="shared" si="75"/>
        <v>0</v>
      </c>
      <c r="D104" s="24">
        <f t="shared" si="57"/>
        <v>0</v>
      </c>
      <c r="H104" s="24">
        <f t="shared" si="58"/>
        <v>0.7151515151515152</v>
      </c>
      <c r="I104" s="22">
        <f t="shared" si="59"/>
        <v>0</v>
      </c>
      <c r="J104" s="24">
        <f t="shared" si="60"/>
        <v>0</v>
      </c>
      <c r="K104" s="22">
        <f t="shared" si="61"/>
        <v>0</v>
      </c>
      <c r="L104" s="22">
        <f t="shared" si="62"/>
        <v>0</v>
      </c>
      <c r="M104" s="225">
        <f t="shared" si="63"/>
        <v>0</v>
      </c>
      <c r="N104" s="227">
        <v>9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Gifts/social support: type (Child support, Pension and Foster Care)</v>
      </c>
      <c r="B105" s="75">
        <f t="shared" ref="B105:C105" si="76">(B51/$B$83)</f>
        <v>1.4476243143299086</v>
      </c>
      <c r="C105" s="75">
        <f t="shared" si="76"/>
        <v>0</v>
      </c>
      <c r="D105" s="24">
        <f t="shared" si="57"/>
        <v>1.4476243143299086</v>
      </c>
      <c r="H105" s="24">
        <f t="shared" si="58"/>
        <v>0.60606060606060608</v>
      </c>
      <c r="I105" s="22">
        <f t="shared" si="59"/>
        <v>0.87734806929085374</v>
      </c>
      <c r="J105" s="24">
        <f t="shared" si="60"/>
        <v>0.87734806929085374</v>
      </c>
      <c r="K105" s="22">
        <f t="shared" si="61"/>
        <v>1.4476243143299086</v>
      </c>
      <c r="L105" s="22">
        <f t="shared" si="62"/>
        <v>0.87734806929085374</v>
      </c>
      <c r="M105" s="225">
        <f t="shared" si="63"/>
        <v>0.87734806929085374</v>
      </c>
      <c r="N105" s="227">
        <v>15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Remittances: no. times per year</v>
      </c>
      <c r="B106" s="75">
        <f t="shared" ref="B106:C106" si="77">(B52/$B$83)</f>
        <v>0.76459030686438834</v>
      </c>
      <c r="C106" s="75">
        <f t="shared" si="77"/>
        <v>0</v>
      </c>
      <c r="D106" s="24">
        <f t="shared" si="57"/>
        <v>0.76459030686438834</v>
      </c>
      <c r="H106" s="24">
        <f t="shared" si="58"/>
        <v>0.67272727272727284</v>
      </c>
      <c r="I106" s="22">
        <f t="shared" si="59"/>
        <v>0.51436075189058861</v>
      </c>
      <c r="J106" s="24">
        <f t="shared" si="60"/>
        <v>0.51436075189058861</v>
      </c>
      <c r="K106" s="22">
        <f t="shared" si="61"/>
        <v>0.76459030686438834</v>
      </c>
      <c r="L106" s="22">
        <f t="shared" si="62"/>
        <v>0.51436075189058861</v>
      </c>
      <c r="M106" s="225">
        <f t="shared" si="63"/>
        <v>0.51436075189058861</v>
      </c>
      <c r="N106" s="227">
        <v>15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/>
      </c>
      <c r="B107" s="75">
        <f t="shared" ref="B107:C107" si="78">(B53/$B$83)</f>
        <v>0</v>
      </c>
      <c r="C107" s="75">
        <f t="shared" si="78"/>
        <v>0</v>
      </c>
      <c r="D107" s="24">
        <f t="shared" si="57"/>
        <v>0</v>
      </c>
      <c r="H107" s="24">
        <f t="shared" si="58"/>
        <v>0.60606060606060608</v>
      </c>
      <c r="I107" s="22">
        <f t="shared" si="59"/>
        <v>0</v>
      </c>
      <c r="J107" s="24">
        <f t="shared" si="60"/>
        <v>0</v>
      </c>
      <c r="K107" s="22">
        <f t="shared" si="61"/>
        <v>0</v>
      </c>
      <c r="L107" s="22">
        <f t="shared" si="62"/>
        <v>0</v>
      </c>
      <c r="M107" s="225">
        <f t="shared" si="63"/>
        <v>0</v>
      </c>
      <c r="N107" s="227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/>
      </c>
      <c r="B108" s="75">
        <f t="shared" ref="B108:C108" si="79">(B54/$B$83)</f>
        <v>0</v>
      </c>
      <c r="C108" s="75">
        <f t="shared" si="79"/>
        <v>0</v>
      </c>
      <c r="D108" s="24">
        <f t="shared" si="57"/>
        <v>0</v>
      </c>
      <c r="H108" s="24">
        <f t="shared" si="58"/>
        <v>0.60606060606060608</v>
      </c>
      <c r="I108" s="22">
        <f t="shared" si="59"/>
        <v>0</v>
      </c>
      <c r="J108" s="24">
        <f t="shared" si="60"/>
        <v>0</v>
      </c>
      <c r="K108" s="22">
        <f t="shared" si="61"/>
        <v>0</v>
      </c>
      <c r="L108" s="22">
        <f t="shared" si="62"/>
        <v>0</v>
      </c>
      <c r="M108" s="225">
        <f t="shared" si="63"/>
        <v>0</v>
      </c>
      <c r="N108" s="227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/>
      </c>
      <c r="B109" s="75">
        <f t="shared" ref="B109:C109" si="80">(B55/$B$83)</f>
        <v>0</v>
      </c>
      <c r="C109" s="75">
        <f t="shared" si="80"/>
        <v>0</v>
      </c>
      <c r="D109" s="24">
        <f t="shared" si="57"/>
        <v>0</v>
      </c>
      <c r="H109" s="24">
        <f t="shared" si="58"/>
        <v>0.60606060606060608</v>
      </c>
      <c r="I109" s="22">
        <f t="shared" si="59"/>
        <v>0</v>
      </c>
      <c r="J109" s="24">
        <f t="shared" si="60"/>
        <v>0</v>
      </c>
      <c r="K109" s="22">
        <f t="shared" si="61"/>
        <v>0</v>
      </c>
      <c r="L109" s="22">
        <f t="shared" si="62"/>
        <v>0</v>
      </c>
      <c r="M109" s="225">
        <f t="shared" si="63"/>
        <v>0</v>
      </c>
      <c r="N109" s="227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/>
      </c>
      <c r="B110" s="75">
        <f t="shared" ref="B110:C110" si="81">(B56/$B$83)</f>
        <v>0</v>
      </c>
      <c r="C110" s="75">
        <f t="shared" si="81"/>
        <v>0</v>
      </c>
      <c r="D110" s="24">
        <f t="shared" si="57"/>
        <v>0</v>
      </c>
      <c r="H110" s="24">
        <f t="shared" si="58"/>
        <v>0.60606060606060608</v>
      </c>
      <c r="I110" s="22">
        <f t="shared" si="59"/>
        <v>0</v>
      </c>
      <c r="J110" s="24">
        <f t="shared" si="60"/>
        <v>0</v>
      </c>
      <c r="K110" s="22">
        <f t="shared" si="61"/>
        <v>0</v>
      </c>
      <c r="L110" s="22">
        <f t="shared" si="62"/>
        <v>0</v>
      </c>
      <c r="M110" s="225">
        <f t="shared" si="63"/>
        <v>0</v>
      </c>
      <c r="N110" s="227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>
        <f t="shared" ref="B111:C111" si="82">(B57/$B$83)</f>
        <v>0</v>
      </c>
      <c r="C111" s="75">
        <f t="shared" si="82"/>
        <v>0</v>
      </c>
      <c r="D111" s="24">
        <f t="shared" si="57"/>
        <v>0</v>
      </c>
      <c r="H111" s="24">
        <f t="shared" si="58"/>
        <v>0.60606060606060608</v>
      </c>
      <c r="I111" s="22">
        <f t="shared" si="59"/>
        <v>0</v>
      </c>
      <c r="J111" s="24">
        <f t="shared" si="60"/>
        <v>0</v>
      </c>
      <c r="K111" s="22">
        <f t="shared" si="61"/>
        <v>0</v>
      </c>
      <c r="L111" s="22">
        <f t="shared" si="62"/>
        <v>0</v>
      </c>
      <c r="M111" s="225">
        <f t="shared" si="63"/>
        <v>0</v>
      </c>
      <c r="N111" s="227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ref="B112:C112" si="83">(B58/$B$83)</f>
        <v>0</v>
      </c>
      <c r="C112" s="75">
        <f t="shared" si="83"/>
        <v>0</v>
      </c>
      <c r="D112" s="24">
        <f t="shared" si="57"/>
        <v>0</v>
      </c>
      <c r="H112" s="24">
        <f t="shared" si="58"/>
        <v>0.60606060606060608</v>
      </c>
      <c r="I112" s="22">
        <f t="shared" si="59"/>
        <v>0</v>
      </c>
      <c r="J112" s="24">
        <f t="shared" si="60"/>
        <v>0</v>
      </c>
      <c r="K112" s="22">
        <f t="shared" si="61"/>
        <v>0</v>
      </c>
      <c r="L112" s="22">
        <f t="shared" si="62"/>
        <v>0</v>
      </c>
      <c r="M112" s="225">
        <f t="shared" si="63"/>
        <v>0</v>
      </c>
      <c r="N112" s="227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ref="B113:C113" si="84">(B59/$B$83)</f>
        <v>0</v>
      </c>
      <c r="C113" s="75">
        <f t="shared" si="84"/>
        <v>0</v>
      </c>
      <c r="D113" s="24">
        <f t="shared" si="57"/>
        <v>0</v>
      </c>
      <c r="H113" s="24">
        <f t="shared" si="58"/>
        <v>0.60606060606060608</v>
      </c>
      <c r="I113" s="22">
        <f t="shared" si="59"/>
        <v>0</v>
      </c>
      <c r="J113" s="24">
        <f t="shared" si="60"/>
        <v>0</v>
      </c>
      <c r="K113" s="22">
        <f t="shared" si="61"/>
        <v>0</v>
      </c>
      <c r="L113" s="22">
        <f t="shared" si="62"/>
        <v>0</v>
      </c>
      <c r="M113" s="225">
        <f t="shared" si="63"/>
        <v>0</v>
      </c>
      <c r="N113" s="227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ref="B114:C114" si="85">(B60/$B$83)</f>
        <v>0</v>
      </c>
      <c r="C114" s="75">
        <f t="shared" si="85"/>
        <v>0</v>
      </c>
      <c r="D114" s="24">
        <f t="shared" si="57"/>
        <v>0</v>
      </c>
      <c r="H114" s="24">
        <f t="shared" si="58"/>
        <v>0.60606060606060608</v>
      </c>
      <c r="I114" s="22">
        <f t="shared" si="59"/>
        <v>0</v>
      </c>
      <c r="J114" s="24">
        <f t="shared" si="60"/>
        <v>0</v>
      </c>
      <c r="K114" s="22">
        <f t="shared" si="61"/>
        <v>0</v>
      </c>
      <c r="L114" s="22">
        <f t="shared" si="62"/>
        <v>0</v>
      </c>
      <c r="M114" s="225">
        <f t="shared" si="63"/>
        <v>0</v>
      </c>
      <c r="N114" s="227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ref="B115:C115" si="86">(B61/$B$83)</f>
        <v>0</v>
      </c>
      <c r="C115" s="75">
        <f t="shared" si="86"/>
        <v>0</v>
      </c>
      <c r="D115" s="24">
        <f t="shared" si="57"/>
        <v>0</v>
      </c>
      <c r="H115" s="24">
        <f t="shared" si="58"/>
        <v>0.60606060606060608</v>
      </c>
      <c r="I115" s="22">
        <f t="shared" si="59"/>
        <v>0</v>
      </c>
      <c r="J115" s="24">
        <f t="shared" si="60"/>
        <v>0</v>
      </c>
      <c r="K115" s="22">
        <f t="shared" si="61"/>
        <v>0</v>
      </c>
      <c r="L115" s="22">
        <f t="shared" si="62"/>
        <v>0</v>
      </c>
      <c r="M115" s="225">
        <f t="shared" si="63"/>
        <v>0</v>
      </c>
      <c r="N115" s="227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ref="B116:C116" si="87">(B62/$B$83)</f>
        <v>0</v>
      </c>
      <c r="C116" s="75">
        <f t="shared" si="87"/>
        <v>0</v>
      </c>
      <c r="D116" s="24">
        <f t="shared" si="57"/>
        <v>0</v>
      </c>
      <c r="H116" s="24">
        <f t="shared" si="58"/>
        <v>0.60606060606060608</v>
      </c>
      <c r="I116" s="22">
        <f t="shared" si="59"/>
        <v>0</v>
      </c>
      <c r="J116" s="24">
        <f t="shared" si="60"/>
        <v>0</v>
      </c>
      <c r="K116" s="22">
        <f t="shared" si="61"/>
        <v>0</v>
      </c>
      <c r="L116" s="22">
        <f t="shared" si="62"/>
        <v>0</v>
      </c>
      <c r="M116" s="225">
        <f t="shared" si="63"/>
        <v>0</v>
      </c>
      <c r="N116" s="227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ref="B117:C117" si="88">(B63/$B$83)</f>
        <v>0</v>
      </c>
      <c r="C117" s="75">
        <f t="shared" si="88"/>
        <v>0</v>
      </c>
      <c r="D117" s="24">
        <f t="shared" si="57"/>
        <v>0</v>
      </c>
      <c r="H117" s="24">
        <f t="shared" si="58"/>
        <v>0.60606060606060608</v>
      </c>
      <c r="I117" s="22">
        <f t="shared" si="59"/>
        <v>0</v>
      </c>
      <c r="J117" s="24">
        <f t="shared" si="60"/>
        <v>0</v>
      </c>
      <c r="K117" s="22">
        <f t="shared" si="61"/>
        <v>0</v>
      </c>
      <c r="L117" s="22">
        <f t="shared" si="62"/>
        <v>0</v>
      </c>
      <c r="M117" s="225">
        <f t="shared" si="63"/>
        <v>0</v>
      </c>
      <c r="N117" s="227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ref="B118:C118" si="89">(B64/$B$83)</f>
        <v>0</v>
      </c>
      <c r="C118" s="75">
        <f t="shared" si="89"/>
        <v>0</v>
      </c>
      <c r="D118" s="24">
        <f t="shared" si="57"/>
        <v>0</v>
      </c>
      <c r="H118" s="24">
        <f t="shared" si="58"/>
        <v>0.60606060606060608</v>
      </c>
      <c r="I118" s="22">
        <f t="shared" si="59"/>
        <v>0</v>
      </c>
      <c r="J118" s="24">
        <f t="shared" si="60"/>
        <v>0</v>
      </c>
      <c r="K118" s="22">
        <f t="shared" si="61"/>
        <v>0</v>
      </c>
      <c r="L118" s="22">
        <f t="shared" si="62"/>
        <v>0</v>
      </c>
      <c r="M118" s="225">
        <f t="shared" si="63"/>
        <v>0</v>
      </c>
      <c r="N118" s="227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18.243294630741381</v>
      </c>
      <c r="C119" s="22">
        <f>SUM(C91:C118)</f>
        <v>-0.130150261124027</v>
      </c>
      <c r="D119" s="24">
        <f>SUM(D91:D118)</f>
        <v>18.113144369617359</v>
      </c>
      <c r="E119" s="22"/>
      <c r="F119" s="2"/>
      <c r="G119" s="2"/>
      <c r="H119" s="31"/>
      <c r="I119" s="22">
        <f>SUM(I91:I118)</f>
        <v>7.4337485663250478</v>
      </c>
      <c r="J119" s="24">
        <f>SUM(J91:J118)</f>
        <v>7.4415269713252794</v>
      </c>
      <c r="K119" s="22">
        <f>SUM(K91:K118)</f>
        <v>18.243294630741381</v>
      </c>
      <c r="L119" s="22">
        <f>SUM(L91:L118)</f>
        <v>7.4418815417373239</v>
      </c>
      <c r="M119" s="57">
        <f t="shared" si="50"/>
        <v>7.4415269713252794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Better-off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0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0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B70/B$83</f>
        <v>1.268866349804576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1.0766138725614585</v>
      </c>
      <c r="J124" s="235">
        <f>IF(SUMPRODUCT($B$124:$B124,$H$124:$H124)&lt;J$119,($B124*$H124),J$119)</f>
        <v>1.0766138725614585</v>
      </c>
      <c r="K124" s="22">
        <f>(B124)</f>
        <v>1.268866349804576</v>
      </c>
      <c r="L124" s="29">
        <f>IF(SUMPRODUCT($B$124:$B124,$H$124:$H124)&lt;L$119,($B124*$H124),L$119)</f>
        <v>1.0766138725614585</v>
      </c>
      <c r="M124" s="57">
        <f t="shared" si="90"/>
        <v>1.0766138725614585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75">
        <f>B71/B$83</f>
        <v>1.3234775030227428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0.9464869415556586</v>
      </c>
      <c r="J125" s="235">
        <f>IF(SUMPRODUCT($B$124:$B125,$H$124:$H125)&lt;J$119,($B125*$H125),IF(SUMPRODUCT($B$124:$B124,$H$124:$H124)&lt;J$119,J$119-SUMPRODUCT($B$124:$B124,$H$124:$H124),0))</f>
        <v>0.9464869415556586</v>
      </c>
      <c r="K125" s="22">
        <f t="shared" ref="K125:K126" si="91">(B125)</f>
        <v>1.3234775030227428</v>
      </c>
      <c r="L125" s="29">
        <f>IF(SUMPRODUCT($B$124:$B125,$H$124:$H125)&lt;L$119,($B125*$H125),IF(SUMPRODUCT($B$124:$B124,$H$124:$H124)&lt;L$119,L$119-SUMPRODUCT($B$124:$B124,$H$124:$H124),0))</f>
        <v>0.9464869415556586</v>
      </c>
      <c r="M125" s="57">
        <f t="shared" ref="M125:M126" si="92">(J125)</f>
        <v>0.9464869415556586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75">
        <f>B72/B$83</f>
        <v>2.3569770526272875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5">
        <f>IF(SUMPRODUCT($B$124:$B126,$H$124:$H126)&lt;(J$119-J$128),($B126*$H126),IF(SUMPRODUCT($B$124:$B125,$H$124:$H125)&lt;(J$119-J$128),J$119-J$128-SUMPRODUCT($B$124:$B125,$H$124:$H125),0))</f>
        <v>1.6855957103637573</v>
      </c>
      <c r="K126" s="22">
        <f t="shared" si="91"/>
        <v>2.3569770526272875</v>
      </c>
      <c r="L126" s="29">
        <f>IF(SUMPRODUCT($B$124:$B126,$H$124:$H126)&lt;(L$119-L$128),($B126*$H126),IF(SUMPRODUCT($B$124:$B125,$H$124:$H125)&lt;(L$119-L$128),L$119-L$128-SUMPRODUCT($B$124:$B125,$H$124:$H125),0))</f>
        <v>1.6855957103637573</v>
      </c>
      <c r="M126" s="57">
        <f t="shared" si="92"/>
        <v>1.6855957103637573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0.95149015965346095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5">
        <f>IF(SUMPRODUCT($B$124:$B127,$H$124:$H127)&lt;(J$119-J$128),($B127*$H127),IF(SUMPRODUCT($B$124:$B126,$H$124:$H126)&lt;(J$119-J128),J$119-J$128-SUMPRODUCT($B$124:$B126,$H$124:$H126),0))</f>
        <v>0.68045962932792969</v>
      </c>
      <c r="K127" s="22">
        <f>(B127)</f>
        <v>0.95149015965346095</v>
      </c>
      <c r="L127" s="29">
        <f>IF(SUMPRODUCT($B$124:$B127,$H$124:$H127)&lt;(L$119-L$128),($B127*$H127),IF(SUMPRODUCT($B$124:$B126,$H$124:$H126)&lt;(L$119-L128),L$119-L$128-SUMPRODUCT($B$124:$B126,$H$124:$H126),0))</f>
        <v>0.68045962932792969</v>
      </c>
      <c r="M127" s="57">
        <f t="shared" si="90"/>
        <v>0.68045962932792969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0.5065454465753424</v>
      </c>
      <c r="C128" s="2"/>
      <c r="D128" s="31"/>
      <c r="E128" s="2"/>
      <c r="F128" s="2"/>
      <c r="G128" s="2"/>
      <c r="H128" s="24"/>
      <c r="I128" s="29">
        <f>(I30)</f>
        <v>6.3571346937635891</v>
      </c>
      <c r="J128" s="226">
        <f>(J30)</f>
        <v>0.42915304967754353</v>
      </c>
      <c r="K128" s="22">
        <f>(B128)</f>
        <v>0.5065454465753424</v>
      </c>
      <c r="L128" s="22">
        <f>IF(L124=L119,0,(L119-L124)/(B119-B124)*K128)</f>
        <v>0.18995027701023287</v>
      </c>
      <c r="M128" s="57">
        <f t="shared" si="90"/>
        <v>0.42915304967754353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11.835938119057971</v>
      </c>
      <c r="C129" s="2"/>
      <c r="D129" s="31"/>
      <c r="E129" s="2"/>
      <c r="F129" s="2"/>
      <c r="G129" s="2"/>
      <c r="H129" s="24"/>
      <c r="I129" s="29"/>
      <c r="J129" s="226">
        <f>IF(SUM(J124:J128)&gt;J130,0,J130-SUM(J124:J128))</f>
        <v>2.6232177678389323</v>
      </c>
      <c r="K129" s="29">
        <f>(B129)</f>
        <v>11.835938119057971</v>
      </c>
      <c r="L129" s="60">
        <f>IF(SUM(L124:L128)&gt;L130,0,L130-SUM(L124:L128))</f>
        <v>2.8627751109182871</v>
      </c>
      <c r="M129" s="57">
        <f t="shared" si="90"/>
        <v>2.6232177678389323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18.243294630741381</v>
      </c>
      <c r="C130" s="2"/>
      <c r="D130" s="31"/>
      <c r="E130" s="2"/>
      <c r="F130" s="2"/>
      <c r="G130" s="2"/>
      <c r="H130" s="24"/>
      <c r="I130" s="29">
        <f>(I119)</f>
        <v>7.4337485663250478</v>
      </c>
      <c r="J130" s="226">
        <f>(J119)</f>
        <v>7.4415269713252794</v>
      </c>
      <c r="K130" s="22">
        <f>(B130)</f>
        <v>18.243294630741381</v>
      </c>
      <c r="L130" s="22">
        <f>(L119)</f>
        <v>7.4418815417373239</v>
      </c>
      <c r="M130" s="57">
        <f t="shared" si="90"/>
        <v>7.4415269713252794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0.9464869415556576</v>
      </c>
      <c r="J131" s="235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5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370" priority="180" operator="equal">
      <formula>16</formula>
    </cfRule>
    <cfRule type="cellIs" dxfId="369" priority="181" operator="equal">
      <formula>15</formula>
    </cfRule>
    <cfRule type="cellIs" dxfId="368" priority="182" operator="equal">
      <formula>14</formula>
    </cfRule>
    <cfRule type="cellIs" dxfId="367" priority="183" operator="equal">
      <formula>13</formula>
    </cfRule>
    <cfRule type="cellIs" dxfId="366" priority="184" operator="equal">
      <formula>12</formula>
    </cfRule>
    <cfRule type="cellIs" dxfId="365" priority="185" operator="equal">
      <formula>11</formula>
    </cfRule>
    <cfRule type="cellIs" dxfId="364" priority="186" operator="equal">
      <formula>10</formula>
    </cfRule>
    <cfRule type="cellIs" dxfId="363" priority="187" operator="equal">
      <formula>9</formula>
    </cfRule>
    <cfRule type="cellIs" dxfId="362" priority="188" operator="equal">
      <formula>8</formula>
    </cfRule>
    <cfRule type="cellIs" dxfId="361" priority="189" operator="equal">
      <formula>7</formula>
    </cfRule>
    <cfRule type="cellIs" dxfId="360" priority="190" operator="equal">
      <formula>6</formula>
    </cfRule>
    <cfRule type="cellIs" dxfId="359" priority="191" operator="equal">
      <formula>5</formula>
    </cfRule>
    <cfRule type="cellIs" dxfId="358" priority="192" operator="equal">
      <formula>4</formula>
    </cfRule>
    <cfRule type="cellIs" dxfId="357" priority="193" operator="equal">
      <formula>3</formula>
    </cfRule>
    <cfRule type="cellIs" dxfId="356" priority="194" operator="equal">
      <formula>2</formula>
    </cfRule>
    <cfRule type="cellIs" dxfId="355" priority="195" operator="equal">
      <formula>1</formula>
    </cfRule>
  </conditionalFormatting>
  <conditionalFormatting sqref="N29">
    <cfRule type="cellIs" dxfId="354" priority="164" operator="equal">
      <formula>16</formula>
    </cfRule>
    <cfRule type="cellIs" dxfId="353" priority="165" operator="equal">
      <formula>15</formula>
    </cfRule>
    <cfRule type="cellIs" dxfId="352" priority="166" operator="equal">
      <formula>14</formula>
    </cfRule>
    <cfRule type="cellIs" dxfId="351" priority="167" operator="equal">
      <formula>13</formula>
    </cfRule>
    <cfRule type="cellIs" dxfId="350" priority="168" operator="equal">
      <formula>12</formula>
    </cfRule>
    <cfRule type="cellIs" dxfId="349" priority="169" operator="equal">
      <formula>11</formula>
    </cfRule>
    <cfRule type="cellIs" dxfId="348" priority="170" operator="equal">
      <formula>10</formula>
    </cfRule>
    <cfRule type="cellIs" dxfId="347" priority="171" operator="equal">
      <formula>9</formula>
    </cfRule>
    <cfRule type="cellIs" dxfId="346" priority="172" operator="equal">
      <formula>8</formula>
    </cfRule>
    <cfRule type="cellIs" dxfId="345" priority="173" operator="equal">
      <formula>7</formula>
    </cfRule>
    <cfRule type="cellIs" dxfId="344" priority="174" operator="equal">
      <formula>6</formula>
    </cfRule>
    <cfRule type="cellIs" dxfId="343" priority="175" operator="equal">
      <formula>5</formula>
    </cfRule>
    <cfRule type="cellIs" dxfId="342" priority="176" operator="equal">
      <formula>4</formula>
    </cfRule>
    <cfRule type="cellIs" dxfId="341" priority="177" operator="equal">
      <formula>3</formula>
    </cfRule>
    <cfRule type="cellIs" dxfId="340" priority="178" operator="equal">
      <formula>2</formula>
    </cfRule>
    <cfRule type="cellIs" dxfId="339" priority="179" operator="equal">
      <formula>1</formula>
    </cfRule>
  </conditionalFormatting>
  <conditionalFormatting sqref="N113:N118">
    <cfRule type="cellIs" dxfId="338" priority="116" operator="equal">
      <formula>16</formula>
    </cfRule>
    <cfRule type="cellIs" dxfId="337" priority="117" operator="equal">
      <formula>15</formula>
    </cfRule>
    <cfRule type="cellIs" dxfId="336" priority="118" operator="equal">
      <formula>14</formula>
    </cfRule>
    <cfRule type="cellIs" dxfId="335" priority="119" operator="equal">
      <formula>13</formula>
    </cfRule>
    <cfRule type="cellIs" dxfId="334" priority="120" operator="equal">
      <formula>12</formula>
    </cfRule>
    <cfRule type="cellIs" dxfId="333" priority="121" operator="equal">
      <formula>11</formula>
    </cfRule>
    <cfRule type="cellIs" dxfId="332" priority="122" operator="equal">
      <formula>10</formula>
    </cfRule>
    <cfRule type="cellIs" dxfId="331" priority="123" operator="equal">
      <formula>9</formula>
    </cfRule>
    <cfRule type="cellIs" dxfId="330" priority="124" operator="equal">
      <formula>8</formula>
    </cfRule>
    <cfRule type="cellIs" dxfId="329" priority="125" operator="equal">
      <formula>7</formula>
    </cfRule>
    <cfRule type="cellIs" dxfId="328" priority="126" operator="equal">
      <formula>6</formula>
    </cfRule>
    <cfRule type="cellIs" dxfId="327" priority="127" operator="equal">
      <formula>5</formula>
    </cfRule>
    <cfRule type="cellIs" dxfId="326" priority="128" operator="equal">
      <formula>4</formula>
    </cfRule>
    <cfRule type="cellIs" dxfId="325" priority="129" operator="equal">
      <formula>3</formula>
    </cfRule>
    <cfRule type="cellIs" dxfId="324" priority="130" operator="equal">
      <formula>2</formula>
    </cfRule>
    <cfRule type="cellIs" dxfId="323" priority="131" operator="equal">
      <formula>1</formula>
    </cfRule>
  </conditionalFormatting>
  <conditionalFormatting sqref="N6:N28">
    <cfRule type="cellIs" dxfId="322" priority="100" operator="equal">
      <formula>16</formula>
    </cfRule>
    <cfRule type="cellIs" dxfId="321" priority="101" operator="equal">
      <formula>15</formula>
    </cfRule>
    <cfRule type="cellIs" dxfId="320" priority="102" operator="equal">
      <formula>14</formula>
    </cfRule>
    <cfRule type="cellIs" dxfId="319" priority="103" operator="equal">
      <formula>13</formula>
    </cfRule>
    <cfRule type="cellIs" dxfId="318" priority="104" operator="equal">
      <formula>12</formula>
    </cfRule>
    <cfRule type="cellIs" dxfId="317" priority="105" operator="equal">
      <formula>11</formula>
    </cfRule>
    <cfRule type="cellIs" dxfId="316" priority="106" operator="equal">
      <formula>10</formula>
    </cfRule>
    <cfRule type="cellIs" dxfId="315" priority="107" operator="equal">
      <formula>9</formula>
    </cfRule>
    <cfRule type="cellIs" dxfId="314" priority="108" operator="equal">
      <formula>8</formula>
    </cfRule>
    <cfRule type="cellIs" dxfId="313" priority="109" operator="equal">
      <formula>7</formula>
    </cfRule>
    <cfRule type="cellIs" dxfId="312" priority="110" operator="equal">
      <formula>6</formula>
    </cfRule>
    <cfRule type="cellIs" dxfId="311" priority="111" operator="equal">
      <formula>5</formula>
    </cfRule>
    <cfRule type="cellIs" dxfId="310" priority="112" operator="equal">
      <formula>4</formula>
    </cfRule>
    <cfRule type="cellIs" dxfId="309" priority="113" operator="equal">
      <formula>3</formula>
    </cfRule>
    <cfRule type="cellIs" dxfId="308" priority="114" operator="equal">
      <formula>2</formula>
    </cfRule>
    <cfRule type="cellIs" dxfId="307" priority="115" operator="equal">
      <formula>1</formula>
    </cfRule>
  </conditionalFormatting>
  <conditionalFormatting sqref="N112">
    <cfRule type="cellIs" dxfId="306" priority="68" operator="equal">
      <formula>16</formula>
    </cfRule>
    <cfRule type="cellIs" dxfId="305" priority="69" operator="equal">
      <formula>15</formula>
    </cfRule>
    <cfRule type="cellIs" dxfId="304" priority="70" operator="equal">
      <formula>14</formula>
    </cfRule>
    <cfRule type="cellIs" dxfId="303" priority="71" operator="equal">
      <formula>13</formula>
    </cfRule>
    <cfRule type="cellIs" dxfId="302" priority="72" operator="equal">
      <formula>12</formula>
    </cfRule>
    <cfRule type="cellIs" dxfId="301" priority="73" operator="equal">
      <formula>11</formula>
    </cfRule>
    <cfRule type="cellIs" dxfId="300" priority="74" operator="equal">
      <formula>10</formula>
    </cfRule>
    <cfRule type="cellIs" dxfId="299" priority="75" operator="equal">
      <formula>9</formula>
    </cfRule>
    <cfRule type="cellIs" dxfId="298" priority="76" operator="equal">
      <formula>8</formula>
    </cfRule>
    <cfRule type="cellIs" dxfId="297" priority="77" operator="equal">
      <formula>7</formula>
    </cfRule>
    <cfRule type="cellIs" dxfId="296" priority="78" operator="equal">
      <formula>6</formula>
    </cfRule>
    <cfRule type="cellIs" dxfId="295" priority="79" operator="equal">
      <formula>5</formula>
    </cfRule>
    <cfRule type="cellIs" dxfId="294" priority="80" operator="equal">
      <formula>4</formula>
    </cfRule>
    <cfRule type="cellIs" dxfId="293" priority="81" operator="equal">
      <formula>3</formula>
    </cfRule>
    <cfRule type="cellIs" dxfId="292" priority="82" operator="equal">
      <formula>2</formula>
    </cfRule>
    <cfRule type="cellIs" dxfId="291" priority="83" operator="equal">
      <formula>1</formula>
    </cfRule>
  </conditionalFormatting>
  <conditionalFormatting sqref="N91:N104">
    <cfRule type="cellIs" dxfId="290" priority="52" operator="equal">
      <formula>16</formula>
    </cfRule>
    <cfRule type="cellIs" dxfId="289" priority="53" operator="equal">
      <formula>15</formula>
    </cfRule>
    <cfRule type="cellIs" dxfId="288" priority="54" operator="equal">
      <formula>14</formula>
    </cfRule>
    <cfRule type="cellIs" dxfId="287" priority="55" operator="equal">
      <formula>13</formula>
    </cfRule>
    <cfRule type="cellIs" dxfId="286" priority="56" operator="equal">
      <formula>12</formula>
    </cfRule>
    <cfRule type="cellIs" dxfId="285" priority="57" operator="equal">
      <formula>11</formula>
    </cfRule>
    <cfRule type="cellIs" dxfId="284" priority="58" operator="equal">
      <formula>10</formula>
    </cfRule>
    <cfRule type="cellIs" dxfId="283" priority="59" operator="equal">
      <formula>9</formula>
    </cfRule>
    <cfRule type="cellIs" dxfId="282" priority="60" operator="equal">
      <formula>8</formula>
    </cfRule>
    <cfRule type="cellIs" dxfId="281" priority="61" operator="equal">
      <formula>7</formula>
    </cfRule>
    <cfRule type="cellIs" dxfId="280" priority="62" operator="equal">
      <formula>6</formula>
    </cfRule>
    <cfRule type="cellIs" dxfId="279" priority="63" operator="equal">
      <formula>5</formula>
    </cfRule>
    <cfRule type="cellIs" dxfId="278" priority="64" operator="equal">
      <formula>4</formula>
    </cfRule>
    <cfRule type="cellIs" dxfId="277" priority="65" operator="equal">
      <formula>3</formula>
    </cfRule>
    <cfRule type="cellIs" dxfId="276" priority="66" operator="equal">
      <formula>2</formula>
    </cfRule>
    <cfRule type="cellIs" dxfId="275" priority="67" operator="equal">
      <formula>1</formula>
    </cfRule>
  </conditionalFormatting>
  <conditionalFormatting sqref="N105:N111">
    <cfRule type="cellIs" dxfId="274" priority="36" operator="equal">
      <formula>16</formula>
    </cfRule>
    <cfRule type="cellIs" dxfId="273" priority="37" operator="equal">
      <formula>15</formula>
    </cfRule>
    <cfRule type="cellIs" dxfId="272" priority="38" operator="equal">
      <formula>14</formula>
    </cfRule>
    <cfRule type="cellIs" dxfId="271" priority="39" operator="equal">
      <formula>13</formula>
    </cfRule>
    <cfRule type="cellIs" dxfId="270" priority="40" operator="equal">
      <formula>12</formula>
    </cfRule>
    <cfRule type="cellIs" dxfId="269" priority="41" operator="equal">
      <formula>11</formula>
    </cfRule>
    <cfRule type="cellIs" dxfId="268" priority="42" operator="equal">
      <formula>10</formula>
    </cfRule>
    <cfRule type="cellIs" dxfId="267" priority="43" operator="equal">
      <formula>9</formula>
    </cfRule>
    <cfRule type="cellIs" dxfId="266" priority="44" operator="equal">
      <formula>8</formula>
    </cfRule>
    <cfRule type="cellIs" dxfId="265" priority="45" operator="equal">
      <formula>7</formula>
    </cfRule>
    <cfRule type="cellIs" dxfId="264" priority="46" operator="equal">
      <formula>6</formula>
    </cfRule>
    <cfRule type="cellIs" dxfId="263" priority="47" operator="equal">
      <formula>5</formula>
    </cfRule>
    <cfRule type="cellIs" dxfId="262" priority="48" operator="equal">
      <formula>4</formula>
    </cfRule>
    <cfRule type="cellIs" dxfId="261" priority="49" operator="equal">
      <formula>3</formula>
    </cfRule>
    <cfRule type="cellIs" dxfId="260" priority="50" operator="equal">
      <formula>2</formula>
    </cfRule>
    <cfRule type="cellIs" dxfId="259" priority="51" operator="equal">
      <formula>1</formula>
    </cfRule>
  </conditionalFormatting>
  <conditionalFormatting sqref="R31:T31">
    <cfRule type="cellIs" dxfId="258" priority="35" operator="greaterThan">
      <formula>0</formula>
    </cfRule>
  </conditionalFormatting>
  <conditionalFormatting sqref="R32:T32">
    <cfRule type="cellIs" dxfId="257" priority="34" operator="greaterThan">
      <formula>0</formula>
    </cfRule>
  </conditionalFormatting>
  <conditionalFormatting sqref="R30:T30">
    <cfRule type="cellIs" dxfId="256" priority="33" operator="greaterThan">
      <formula>0</formula>
    </cfRule>
  </conditionalFormatting>
  <conditionalFormatting sqref="N37:N50">
    <cfRule type="cellIs" dxfId="63" priority="17" operator="equal">
      <formula>16</formula>
    </cfRule>
    <cfRule type="cellIs" dxfId="62" priority="18" operator="equal">
      <formula>15</formula>
    </cfRule>
    <cfRule type="cellIs" dxfId="61" priority="19" operator="equal">
      <formula>14</formula>
    </cfRule>
    <cfRule type="cellIs" dxfId="60" priority="20" operator="equal">
      <formula>13</formula>
    </cfRule>
    <cfRule type="cellIs" dxfId="59" priority="21" operator="equal">
      <formula>12</formula>
    </cfRule>
    <cfRule type="cellIs" dxfId="58" priority="22" operator="equal">
      <formula>11</formula>
    </cfRule>
    <cfRule type="cellIs" dxfId="57" priority="23" operator="equal">
      <formula>10</formula>
    </cfRule>
    <cfRule type="cellIs" dxfId="56" priority="24" operator="equal">
      <formula>9</formula>
    </cfRule>
    <cfRule type="cellIs" dxfId="55" priority="25" operator="equal">
      <formula>8</formula>
    </cfRule>
    <cfRule type="cellIs" dxfId="54" priority="26" operator="equal">
      <formula>7</formula>
    </cfRule>
    <cfRule type="cellIs" dxfId="53" priority="27" operator="equal">
      <formula>6</formula>
    </cfRule>
    <cfRule type="cellIs" dxfId="52" priority="28" operator="equal">
      <formula>5</formula>
    </cfRule>
    <cfRule type="cellIs" dxfId="51" priority="29" operator="equal">
      <formula>4</formula>
    </cfRule>
    <cfRule type="cellIs" dxfId="50" priority="30" operator="equal">
      <formula>3</formula>
    </cfRule>
    <cfRule type="cellIs" dxfId="49" priority="31" operator="equal">
      <formula>2</formula>
    </cfRule>
    <cfRule type="cellIs" dxfId="48" priority="32" operator="equal">
      <formula>1</formula>
    </cfRule>
  </conditionalFormatting>
  <conditionalFormatting sqref="N51:N52">
    <cfRule type="cellIs" dxfId="31" priority="1" operator="equal">
      <formula>16</formula>
    </cfRule>
    <cfRule type="cellIs" dxfId="30" priority="2" operator="equal">
      <formula>15</formula>
    </cfRule>
    <cfRule type="cellIs" dxfId="29" priority="3" operator="equal">
      <formula>14</formula>
    </cfRule>
    <cfRule type="cellIs" dxfId="28" priority="4" operator="equal">
      <formula>13</formula>
    </cfRule>
    <cfRule type="cellIs" dxfId="27" priority="5" operator="equal">
      <formula>12</formula>
    </cfRule>
    <cfRule type="cellIs" dxfId="26" priority="6" operator="equal">
      <formula>11</formula>
    </cfRule>
    <cfRule type="cellIs" dxfId="25" priority="7" operator="equal">
      <formula>10</formula>
    </cfRule>
    <cfRule type="cellIs" dxfId="24" priority="8" operator="equal">
      <formula>9</formula>
    </cfRule>
    <cfRule type="cellIs" dxfId="23" priority="9" operator="equal">
      <formula>8</formula>
    </cfRule>
    <cfRule type="cellIs" dxfId="22" priority="10" operator="equal">
      <formula>7</formula>
    </cfRule>
    <cfRule type="cellIs" dxfId="21" priority="11" operator="equal">
      <formula>6</formula>
    </cfRule>
    <cfRule type="cellIs" dxfId="20" priority="12" operator="equal">
      <formula>5</formula>
    </cfRule>
    <cfRule type="cellIs" dxfId="19" priority="13" operator="equal">
      <formula>4</formula>
    </cfRule>
    <cfRule type="cellIs" dxfId="18" priority="14" operator="equal">
      <formula>3</formula>
    </cfRule>
    <cfRule type="cellIs" dxfId="17" priority="15" operator="equal">
      <formula>2</formula>
    </cfRule>
    <cfRule type="cellIs" dxfId="16" priority="16" operator="equal">
      <formula>1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zoomScale="90" zoomScaleNormal="90" zoomScalePageLayoutView="90" workbookViewId="0">
      <selection activeCell="W26" sqref="W26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8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9">
      <c r="A2" s="245"/>
      <c r="B2" s="245"/>
      <c r="C2" s="245"/>
      <c r="D2" s="245"/>
      <c r="E2" s="245"/>
      <c r="F2" s="246"/>
      <c r="G2" s="243"/>
      <c r="H2" s="243"/>
      <c r="I2" s="243"/>
      <c r="J2" s="243"/>
      <c r="K2" s="258" t="str">
        <f>Poor!A1</f>
        <v>ZAKHC: 59208</v>
      </c>
      <c r="L2" s="258"/>
      <c r="M2" s="258"/>
      <c r="N2" s="258"/>
      <c r="O2" s="258"/>
      <c r="P2" s="258"/>
      <c r="Q2" s="258"/>
      <c r="R2" s="245"/>
      <c r="S2" s="245"/>
      <c r="T2" s="245"/>
      <c r="U2" s="245"/>
      <c r="V2" s="245"/>
    </row>
    <row r="3" spans="1:22" s="92" customFormat="1" ht="17">
      <c r="A3" s="90"/>
      <c r="B3" s="259" t="str">
        <f>V.Poor!A3</f>
        <v>Sources of Food : Very Poor HHs</v>
      </c>
      <c r="C3" s="260"/>
      <c r="D3" s="260"/>
      <c r="E3" s="260"/>
      <c r="F3" s="242"/>
      <c r="G3" s="257" t="str">
        <f>Poor!A3</f>
        <v>Sources of Food : Poor HHs</v>
      </c>
      <c r="H3" s="257"/>
      <c r="I3" s="257"/>
      <c r="J3" s="257"/>
      <c r="K3" s="243"/>
      <c r="L3" s="257" t="str">
        <f>Middle!A3</f>
        <v>Sources of Food : Middle HHs</v>
      </c>
      <c r="M3" s="257"/>
      <c r="N3" s="257"/>
      <c r="O3" s="257"/>
      <c r="P3" s="257"/>
      <c r="Q3" s="244"/>
      <c r="R3" s="257" t="str">
        <f>Rich!A3</f>
        <v>Sources of Food : Better-off HHs</v>
      </c>
      <c r="S3" s="257"/>
      <c r="T3" s="257"/>
      <c r="U3" s="257"/>
      <c r="V3" s="90"/>
    </row>
    <row r="4" spans="1:22">
      <c r="A4" s="87"/>
      <c r="B4" s="87"/>
      <c r="C4" s="87"/>
      <c r="D4" s="87"/>
      <c r="E4" s="87"/>
      <c r="F4" s="88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8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8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8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8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8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8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8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8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8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8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8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8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8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8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8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8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8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8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8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8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8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8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8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8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8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8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8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8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8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8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8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8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8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8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8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8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8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8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8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8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8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8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8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8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8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1"/>
  <sheetViews>
    <sheetView tabSelected="1" topLeftCell="K99" workbookViewId="0">
      <selection activeCell="A129" sqref="A129"/>
    </sheetView>
  </sheetViews>
  <sheetFormatPr baseColWidth="10" defaultColWidth="8.7109375" defaultRowHeight="15" x14ac:dyDescent="0"/>
  <cols>
    <col min="1" max="1" width="24.42578125" bestFit="1" customWidth="1"/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21">
      <c r="A2" s="87"/>
      <c r="B2" s="87"/>
      <c r="C2" s="87"/>
      <c r="D2" s="87"/>
      <c r="E2" s="87"/>
      <c r="F2" s="87"/>
      <c r="G2" s="89"/>
      <c r="H2" s="89"/>
      <c r="I2" s="89"/>
      <c r="J2" s="89"/>
      <c r="K2" s="262" t="str">
        <f>Poor!A1</f>
        <v>ZAKHC: 59208</v>
      </c>
      <c r="L2" s="262"/>
      <c r="M2" s="262"/>
      <c r="N2" s="262"/>
      <c r="O2" s="262"/>
      <c r="P2" s="262"/>
      <c r="Q2" s="262"/>
      <c r="R2" s="87"/>
      <c r="S2" s="87"/>
      <c r="T2" s="87"/>
      <c r="U2" s="87"/>
      <c r="V2" s="87"/>
    </row>
    <row r="3" spans="1:22" s="92" customFormat="1" ht="17">
      <c r="A3" s="90"/>
      <c r="B3" s="89"/>
      <c r="C3" s="263" t="str">
        <f>V.Poor!A34</f>
        <v>Income : Very Poor HHs</v>
      </c>
      <c r="D3" s="263"/>
      <c r="E3" s="263"/>
      <c r="F3" s="90"/>
      <c r="G3" s="261" t="str">
        <f>Poor!A34</f>
        <v>Income : Poor HHs</v>
      </c>
      <c r="H3" s="261"/>
      <c r="I3" s="261"/>
      <c r="J3" s="261"/>
      <c r="K3" s="89"/>
      <c r="L3" s="261" t="str">
        <f>Middle!A34</f>
        <v>Income : Middle HHs</v>
      </c>
      <c r="M3" s="261"/>
      <c r="N3" s="261"/>
      <c r="O3" s="261"/>
      <c r="P3" s="261"/>
      <c r="Q3" s="91"/>
      <c r="R3" s="261" t="str">
        <f>Rich!A34</f>
        <v>Income : Better-off HHs</v>
      </c>
      <c r="S3" s="261"/>
      <c r="T3" s="261"/>
      <c r="U3" s="261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71" spans="1:9">
      <c r="B71" s="170" t="s">
        <v>88</v>
      </c>
      <c r="C71" s="170" t="s">
        <v>89</v>
      </c>
      <c r="D71" s="170" t="s">
        <v>90</v>
      </c>
      <c r="E71" s="170" t="s">
        <v>91</v>
      </c>
      <c r="F71" s="170" t="s">
        <v>92</v>
      </c>
      <c r="G71" s="170" t="s">
        <v>93</v>
      </c>
      <c r="H71" s="170" t="s">
        <v>94</v>
      </c>
      <c r="I71" s="170" t="s">
        <v>95</v>
      </c>
    </row>
    <row r="72" spans="1:9">
      <c r="A72" t="str">
        <f>V.Poor!Q7</f>
        <v>Own crops Consumed</v>
      </c>
      <c r="B72" s="109">
        <f>V.Poor!R7</f>
        <v>1471.2865959745848</v>
      </c>
      <c r="C72" s="109">
        <f>Poor!R7</f>
        <v>4042.401206537601</v>
      </c>
      <c r="D72" s="109">
        <f>Middle!R7</f>
        <v>3726.3812702696764</v>
      </c>
      <c r="E72" s="109">
        <f>Rich!R7</f>
        <v>2609.8430257697223</v>
      </c>
      <c r="F72" s="109">
        <f>V.Poor!T7</f>
        <v>414.0773225620311</v>
      </c>
      <c r="G72" s="109">
        <f>Poor!T7</f>
        <v>1351.9601796764625</v>
      </c>
      <c r="H72" s="109">
        <f>Middle!T7</f>
        <v>6814.0638253633415</v>
      </c>
      <c r="I72" s="109">
        <f>Rich!T7</f>
        <v>926.40555153396406</v>
      </c>
    </row>
    <row r="73" spans="1:9">
      <c r="A73" t="str">
        <f>V.Poor!Q8</f>
        <v>Own crops sold</v>
      </c>
      <c r="B73" s="109">
        <f>V.Poor!R8</f>
        <v>0</v>
      </c>
      <c r="C73" s="109">
        <f>Poor!R8</f>
        <v>2481.4068502938544</v>
      </c>
      <c r="D73" s="109">
        <f>Middle!R8</f>
        <v>37840.38673597858</v>
      </c>
      <c r="E73" s="109">
        <f>Rich!R8</f>
        <v>14996.068386836114</v>
      </c>
      <c r="F73" s="109">
        <f>V.Poor!T8</f>
        <v>0</v>
      </c>
      <c r="G73" s="109">
        <f>Poor!T8</f>
        <v>419.99999999999989</v>
      </c>
      <c r="H73" s="109">
        <f>Middle!T8</f>
        <v>5252.4425796988826</v>
      </c>
      <c r="I73" s="109">
        <f>Rich!T8</f>
        <v>3241.7684285637906</v>
      </c>
    </row>
    <row r="74" spans="1:9">
      <c r="A74" t="str">
        <f>V.Poor!Q9</f>
        <v>Animal products consumed</v>
      </c>
      <c r="B74" s="109">
        <f>V.Poor!R9</f>
        <v>178.16053949785783</v>
      </c>
      <c r="C74" s="109">
        <f>Poor!R9</f>
        <v>852.70031370716697</v>
      </c>
      <c r="D74" s="109">
        <f>Middle!R9</f>
        <v>2475.9718923349787</v>
      </c>
      <c r="E74" s="109">
        <f>Rich!R9</f>
        <v>3037.7832928629437</v>
      </c>
      <c r="F74" s="109">
        <f>V.Poor!T9</f>
        <v>39.331052674964965</v>
      </c>
      <c r="G74" s="109">
        <f>Poor!T9</f>
        <v>188.24371013301172</v>
      </c>
      <c r="H74" s="109">
        <f>Middle!T9</f>
        <v>546.60016855377023</v>
      </c>
      <c r="I74" s="109">
        <f>Rich!T9</f>
        <v>670.6267001855233</v>
      </c>
    </row>
    <row r="75" spans="1:9">
      <c r="A75" t="str">
        <f>V.Poor!Q10</f>
        <v>Animal products sold</v>
      </c>
      <c r="B75" s="109">
        <f>V.Poor!R10</f>
        <v>0</v>
      </c>
      <c r="C75" s="109">
        <f>Poor!R10</f>
        <v>0</v>
      </c>
      <c r="D75" s="109">
        <f>Middle!R10</f>
        <v>0</v>
      </c>
      <c r="E75" s="109">
        <f>Rich!R10</f>
        <v>0</v>
      </c>
      <c r="F75" s="109">
        <f>V.Poor!T10</f>
        <v>0</v>
      </c>
      <c r="G75" s="109">
        <f>Poor!T10</f>
        <v>0</v>
      </c>
      <c r="H75" s="109">
        <f>Middle!T10</f>
        <v>0</v>
      </c>
      <c r="I75" s="109">
        <f>Rich!T10</f>
        <v>0</v>
      </c>
    </row>
    <row r="76" spans="1:9">
      <c r="A76" t="str">
        <f>V.Poor!Q11</f>
        <v>Animals sold</v>
      </c>
      <c r="B76" s="109">
        <f>V.Poor!R11</f>
        <v>1921.9158048747584</v>
      </c>
      <c r="C76" s="109">
        <f>Poor!R11</f>
        <v>14574.528186966918</v>
      </c>
      <c r="D76" s="109">
        <f>Middle!R11</f>
        <v>42538.403147894649</v>
      </c>
      <c r="E76" s="109">
        <f>Rich!R11</f>
        <v>48955.466474170928</v>
      </c>
      <c r="F76" s="109">
        <f>V.Poor!T11</f>
        <v>758.57142857142856</v>
      </c>
      <c r="G76" s="109">
        <f>Poor!T11</f>
        <v>4277.5</v>
      </c>
      <c r="H76" s="109">
        <f>Middle!T11</f>
        <v>20733.121494092873</v>
      </c>
      <c r="I76" s="109">
        <f>Rich!T11</f>
        <v>19386.805045970756</v>
      </c>
    </row>
    <row r="77" spans="1:9">
      <c r="A77" t="str">
        <f>V.Poor!Q12</f>
        <v>Wild foods consumed and sold</v>
      </c>
      <c r="B77" s="109">
        <f>V.Poor!R12</f>
        <v>0</v>
      </c>
      <c r="C77" s="109">
        <f>Poor!R12</f>
        <v>0</v>
      </c>
      <c r="D77" s="109">
        <f>Middle!R12</f>
        <v>0</v>
      </c>
      <c r="E77" s="109">
        <f>Rich!R12</f>
        <v>0</v>
      </c>
      <c r="F77" s="109">
        <f>V.Poor!T12</f>
        <v>0</v>
      </c>
      <c r="G77" s="109">
        <f>Poor!T12</f>
        <v>0</v>
      </c>
      <c r="H77" s="109">
        <f>Middle!T12</f>
        <v>0</v>
      </c>
      <c r="I77" s="109">
        <f>Rich!T12</f>
        <v>0</v>
      </c>
    </row>
    <row r="78" spans="1:9">
      <c r="A78" t="str">
        <f>V.Poor!Q13</f>
        <v>Labour - casual</v>
      </c>
      <c r="B78" s="109">
        <f>V.Poor!R13</f>
        <v>11104.402428165269</v>
      </c>
      <c r="C78" s="109">
        <f>Poor!R13</f>
        <v>7414.3240828057342</v>
      </c>
      <c r="D78" s="109">
        <f>Middle!R13</f>
        <v>32800.696403195871</v>
      </c>
      <c r="E78" s="109">
        <f>Rich!R13</f>
        <v>0</v>
      </c>
      <c r="F78" s="109">
        <f>V.Poor!T13</f>
        <v>4122.8571428571431</v>
      </c>
      <c r="G78" s="109">
        <f>Poor!T13</f>
        <v>2752.8000000000006</v>
      </c>
      <c r="H78" s="109">
        <f>Middle!T13</f>
        <v>10357.028571428571</v>
      </c>
      <c r="I78" s="109">
        <f>Rich!T13</f>
        <v>0</v>
      </c>
    </row>
    <row r="79" spans="1:9">
      <c r="A79" t="str">
        <f>V.Poor!Q14</f>
        <v>Labour - formal emp</v>
      </c>
      <c r="B79" s="109">
        <f>V.Poor!R14</f>
        <v>0</v>
      </c>
      <c r="C79" s="109">
        <f>Poor!R14</f>
        <v>0</v>
      </c>
      <c r="D79" s="109">
        <f>Middle!R14</f>
        <v>0</v>
      </c>
      <c r="E79" s="109">
        <f>Rich!R14</f>
        <v>113008.64932663579</v>
      </c>
      <c r="F79" s="109">
        <f>V.Poor!T14</f>
        <v>0</v>
      </c>
      <c r="G79" s="109">
        <f>Poor!T14</f>
        <v>0</v>
      </c>
      <c r="H79" s="109">
        <f>Middle!T14</f>
        <v>0</v>
      </c>
      <c r="I79" s="109">
        <f>Rich!T14</f>
        <v>35683.199999999997</v>
      </c>
    </row>
    <row r="80" spans="1:9">
      <c r="A80" t="str">
        <f>V.Poor!Q15</f>
        <v>Labour - public works</v>
      </c>
      <c r="B80" s="109">
        <f>V.Poor!R15</f>
        <v>0</v>
      </c>
      <c r="C80" s="109">
        <f>Poor!R15</f>
        <v>22296.785890953695</v>
      </c>
      <c r="D80" s="109">
        <f>Middle!R15</f>
        <v>0</v>
      </c>
      <c r="E80" s="109">
        <f>Rich!R15</f>
        <v>0</v>
      </c>
      <c r="F80" s="109">
        <f>V.Poor!T15</f>
        <v>0</v>
      </c>
      <c r="G80" s="109">
        <f>Poor!T15</f>
        <v>17600.879999999997</v>
      </c>
      <c r="H80" s="109">
        <f>Middle!T15</f>
        <v>0</v>
      </c>
      <c r="I80" s="109">
        <f>Rich!T15</f>
        <v>0</v>
      </c>
    </row>
    <row r="81" spans="1:9">
      <c r="A81" t="str">
        <f>V.Poor!Q16</f>
        <v>Self - employment</v>
      </c>
      <c r="B81" s="109">
        <f>V.Poor!R16</f>
        <v>0</v>
      </c>
      <c r="C81" s="109">
        <f>Poor!R16</f>
        <v>0</v>
      </c>
      <c r="D81" s="109">
        <f>Middle!R16</f>
        <v>0</v>
      </c>
      <c r="E81" s="109">
        <f>Rich!R16</f>
        <v>0</v>
      </c>
      <c r="F81" s="109">
        <f>V.Poor!T16</f>
        <v>0</v>
      </c>
      <c r="G81" s="109">
        <f>Poor!T16</f>
        <v>0</v>
      </c>
      <c r="H81" s="109">
        <f>Middle!T16</f>
        <v>0</v>
      </c>
      <c r="I81" s="109">
        <f>Rich!T16</f>
        <v>0</v>
      </c>
    </row>
    <row r="82" spans="1:9">
      <c r="A82" t="str">
        <f>V.Poor!Q17</f>
        <v>Small business/petty trading</v>
      </c>
      <c r="B82" s="109">
        <f>V.Poor!R17</f>
        <v>0</v>
      </c>
      <c r="C82" s="109">
        <f>Poor!R17</f>
        <v>0</v>
      </c>
      <c r="D82" s="109">
        <f>Middle!R17</f>
        <v>13017.776385018364</v>
      </c>
      <c r="E82" s="109">
        <f>Rich!R17</f>
        <v>93725.427417725718</v>
      </c>
      <c r="F82" s="109">
        <f>V.Poor!T17</f>
        <v>0</v>
      </c>
      <c r="G82" s="109">
        <f>Poor!T17</f>
        <v>0</v>
      </c>
      <c r="H82" s="109">
        <f>Middle!T17</f>
        <v>0</v>
      </c>
      <c r="I82" s="109">
        <f>Rich!T17</f>
        <v>59188.800000000003</v>
      </c>
    </row>
    <row r="83" spans="1:9">
      <c r="A83" t="str">
        <f>V.Poor!Q18</f>
        <v>Food transfer - official</v>
      </c>
      <c r="B83" s="109">
        <f>V.Poor!R18</f>
        <v>2094.7120172507834</v>
      </c>
      <c r="C83" s="109">
        <f>Poor!R18</f>
        <v>2094.7120172507839</v>
      </c>
      <c r="D83" s="109">
        <f>Middle!R18</f>
        <v>2094.7120172507834</v>
      </c>
      <c r="E83" s="109">
        <f>Rich!R18</f>
        <v>0</v>
      </c>
      <c r="F83" s="109">
        <f>V.Poor!T18</f>
        <v>2312.1626405482261</v>
      </c>
      <c r="G83" s="109">
        <f>Poor!T18</f>
        <v>2312.1626405482261</v>
      </c>
      <c r="H83" s="109">
        <f>Middle!T18</f>
        <v>2312.1626405482261</v>
      </c>
      <c r="I83" s="109">
        <f>Rich!T18</f>
        <v>0</v>
      </c>
    </row>
    <row r="84" spans="1:9">
      <c r="A84" t="str">
        <f>V.Poor!Q19</f>
        <v>Food transfer - gifts</v>
      </c>
      <c r="B84" s="109">
        <f>V.Poor!R19</f>
        <v>0</v>
      </c>
      <c r="C84" s="109">
        <f>Poor!R19</f>
        <v>0</v>
      </c>
      <c r="D84" s="109">
        <f>Middle!R19</f>
        <v>0</v>
      </c>
      <c r="E84" s="109">
        <f>Rich!R19</f>
        <v>0</v>
      </c>
      <c r="F84" s="109">
        <f>V.Poor!T19</f>
        <v>0</v>
      </c>
      <c r="G84" s="109">
        <f>Poor!T19</f>
        <v>0</v>
      </c>
      <c r="H84" s="109">
        <f>Middle!T19</f>
        <v>0</v>
      </c>
      <c r="I84" s="109">
        <f>Rich!T19</f>
        <v>0</v>
      </c>
    </row>
    <row r="85" spans="1:9">
      <c r="A85" t="str">
        <f>V.Poor!Q20</f>
        <v>Cash transfer - official</v>
      </c>
      <c r="B85" s="109">
        <f>V.Poor!R20</f>
        <v>34543.233399615659</v>
      </c>
      <c r="C85" s="109">
        <f>Poor!R20</f>
        <v>32916.011351488363</v>
      </c>
      <c r="D85" s="109">
        <f>Middle!R20</f>
        <v>0</v>
      </c>
      <c r="E85" s="109">
        <f>Rich!R20</f>
        <v>11390.554336891068</v>
      </c>
      <c r="F85" s="109">
        <f>V.Poor!T20</f>
        <v>0</v>
      </c>
      <c r="G85" s="109">
        <f>Poor!T20</f>
        <v>0</v>
      </c>
      <c r="H85" s="109">
        <f>Middle!T20</f>
        <v>0</v>
      </c>
      <c r="I85" s="109">
        <f>Rich!T20</f>
        <v>0</v>
      </c>
    </row>
    <row r="86" spans="1:9">
      <c r="A86" t="str">
        <f>V.Poor!Q21</f>
        <v>Cash transfer - gifts</v>
      </c>
      <c r="B86" s="109">
        <f>V.Poor!R21</f>
        <v>0</v>
      </c>
      <c r="C86" s="109">
        <f>Poor!R21</f>
        <v>0</v>
      </c>
      <c r="D86" s="109">
        <f>Middle!R21</f>
        <v>20500.435251997424</v>
      </c>
      <c r="E86" s="109">
        <f>Rich!R21</f>
        <v>38925.201434730108</v>
      </c>
      <c r="F86" s="109">
        <f>V.Poor!T21</f>
        <v>0</v>
      </c>
      <c r="G86" s="109">
        <f>Poor!T21</f>
        <v>0</v>
      </c>
      <c r="H86" s="109">
        <f>Middle!T21</f>
        <v>15222.857142857143</v>
      </c>
      <c r="I86" s="109">
        <f>Rich!T21</f>
        <v>27030.000000000004</v>
      </c>
    </row>
    <row r="87" spans="1:9">
      <c r="A87" t="str">
        <f>V.Poor!Q22</f>
        <v>Other</v>
      </c>
      <c r="B87" s="109">
        <f>V.Poor!R22</f>
        <v>0</v>
      </c>
      <c r="C87" s="109">
        <f>Poor!R22</f>
        <v>0</v>
      </c>
      <c r="D87" s="109">
        <f>Middle!R22</f>
        <v>0</v>
      </c>
      <c r="E87" s="109">
        <f>Rich!R22</f>
        <v>0</v>
      </c>
      <c r="F87" s="109">
        <f>V.Poor!T22</f>
        <v>0</v>
      </c>
      <c r="G87" s="109">
        <f>Poor!T22</f>
        <v>0</v>
      </c>
      <c r="H87" s="109">
        <f>Middle!T22</f>
        <v>0</v>
      </c>
      <c r="I87" s="109">
        <f>Rich!T22</f>
        <v>0</v>
      </c>
    </row>
    <row r="88" spans="1:9">
      <c r="A88" t="str">
        <f>V.Poor!Q23</f>
        <v>TOTAL</v>
      </c>
      <c r="B88" s="109">
        <f>V.Poor!R23</f>
        <v>51313.710785378913</v>
      </c>
      <c r="C88" s="109">
        <f>Poor!R23</f>
        <v>86672.869900004123</v>
      </c>
      <c r="D88" s="109">
        <f>Middle!R23</f>
        <v>154994.76310394032</v>
      </c>
      <c r="E88" s="109">
        <f>Rich!R23</f>
        <v>326648.99369562237</v>
      </c>
      <c r="F88" s="109">
        <f>V.Poor!T23</f>
        <v>7646.9995872137933</v>
      </c>
      <c r="G88" s="109">
        <f>Poor!T23</f>
        <v>28903.5465303577</v>
      </c>
      <c r="H88" s="109">
        <f>Middle!T23</f>
        <v>61238.276422542811</v>
      </c>
      <c r="I88" s="109">
        <f>Rich!T23</f>
        <v>146127.60572625403</v>
      </c>
    </row>
    <row r="89" spans="1:9">
      <c r="A89" t="str">
        <f>V.Poor!Q24</f>
        <v>Food Poverty line</v>
      </c>
      <c r="B89" s="109">
        <f>V.Poor!R24</f>
        <v>35969.406972062061</v>
      </c>
      <c r="C89" s="109">
        <f>Poor!R24</f>
        <v>35969.406972062054</v>
      </c>
      <c r="D89" s="109">
        <f>Middle!R24</f>
        <v>35969.406972062054</v>
      </c>
      <c r="E89" s="109">
        <f>Rich!R24</f>
        <v>35969.406972062061</v>
      </c>
      <c r="F89" s="109">
        <f>V.Poor!T24</f>
        <v>35969.406972062061</v>
      </c>
      <c r="G89" s="109">
        <f>Poor!T24</f>
        <v>35969.406972062054</v>
      </c>
      <c r="H89" s="109">
        <f>Middle!T24</f>
        <v>35969.406972062054</v>
      </c>
      <c r="I89" s="109">
        <f>Rich!T24</f>
        <v>35969.406972062061</v>
      </c>
    </row>
    <row r="90" spans="1:9">
      <c r="A90" s="108" t="str">
        <f>V.Poor!Q25</f>
        <v>Lower Bound Poverty line</v>
      </c>
      <c r="B90" s="109">
        <f>V.Poor!R25</f>
        <v>54352.233638728721</v>
      </c>
      <c r="C90" s="109">
        <f>Poor!R25</f>
        <v>54352.233638728729</v>
      </c>
      <c r="D90" s="109">
        <f>Middle!R25</f>
        <v>54352.233638728721</v>
      </c>
      <c r="E90" s="109">
        <f>Rich!R25</f>
        <v>54352.233638728729</v>
      </c>
      <c r="F90" s="109">
        <f>V.Poor!T25</f>
        <v>54352.233638728721</v>
      </c>
      <c r="G90" s="109">
        <f>Poor!T25</f>
        <v>54352.233638728729</v>
      </c>
      <c r="H90" s="109">
        <f>Middle!T25</f>
        <v>54352.233638728721</v>
      </c>
      <c r="I90" s="109">
        <f>Rich!T25</f>
        <v>54352.233638728729</v>
      </c>
    </row>
    <row r="91" spans="1:9">
      <c r="A91" s="108" t="str">
        <f>V.Poor!Q26</f>
        <v>Upper Bound Poverty line</v>
      </c>
      <c r="B91" s="109">
        <f>V.Poor!R26</f>
        <v>87090.153638728734</v>
      </c>
      <c r="C91" s="109">
        <f>Poor!R26</f>
        <v>87090.15363872872</v>
      </c>
      <c r="D91" s="109">
        <f>Middle!R26</f>
        <v>87090.153638728734</v>
      </c>
      <c r="E91" s="109">
        <f>Rich!R26</f>
        <v>87090.15363872872</v>
      </c>
      <c r="F91" s="109">
        <f>V.Poor!T26</f>
        <v>87090.153638728734</v>
      </c>
      <c r="G91" s="109">
        <f>Poor!T26</f>
        <v>87090.15363872872</v>
      </c>
      <c r="H91" s="109">
        <f>Middle!T26</f>
        <v>87090.153638728734</v>
      </c>
      <c r="I91" s="109">
        <f>Rich!T26</f>
        <v>87090.15363872872</v>
      </c>
    </row>
    <row r="92" spans="1:9">
      <c r="A92" s="108" t="str">
        <f>V.Poor!Q27</f>
        <v>Resilience line</v>
      </c>
      <c r="B92" s="109">
        <f>V.Poor!R27</f>
        <v>0</v>
      </c>
      <c r="C92" s="109">
        <f>Poor!R27</f>
        <v>0</v>
      </c>
      <c r="D92" s="109">
        <f>Middle!R27</f>
        <v>0</v>
      </c>
      <c r="E92" s="109">
        <f>Rich!R27</f>
        <v>0</v>
      </c>
      <c r="F92" s="109">
        <f>V.Poor!T27</f>
        <v>0</v>
      </c>
      <c r="G92" s="109">
        <f>Poor!T27</f>
        <v>0</v>
      </c>
      <c r="H92" s="109">
        <f>Middle!T27</f>
        <v>0</v>
      </c>
      <c r="I92" s="109">
        <f>Rich!T27</f>
        <v>0</v>
      </c>
    </row>
    <row r="93" spans="1:9">
      <c r="A93" t="str">
        <f>V.Poor!Q24</f>
        <v>Food Poverty line</v>
      </c>
      <c r="F93" s="109">
        <f>V.Poor!T24</f>
        <v>35969.406972062061</v>
      </c>
      <c r="G93" s="109">
        <f>Poor!T24</f>
        <v>35969.406972062054</v>
      </c>
      <c r="H93" s="109">
        <f>Middle!T24</f>
        <v>35969.406972062054</v>
      </c>
      <c r="I93" s="109">
        <f>Rich!T24</f>
        <v>35969.406972062061</v>
      </c>
    </row>
    <row r="94" spans="1:9">
      <c r="A94" t="str">
        <f>V.Poor!Q25</f>
        <v>Lower Bound Poverty line</v>
      </c>
      <c r="F94" s="109">
        <f>V.Poor!T25</f>
        <v>54352.233638728721</v>
      </c>
      <c r="G94" s="109">
        <f>Poor!T25</f>
        <v>54352.233638728729</v>
      </c>
      <c r="H94" s="109">
        <f>Middle!T25</f>
        <v>54352.233638728721</v>
      </c>
      <c r="I94" s="109">
        <f>Rich!T25</f>
        <v>54352.233638728729</v>
      </c>
    </row>
    <row r="95" spans="1:9">
      <c r="A95" t="str">
        <f>V.Poor!Q26</f>
        <v>Upper Bound Poverty line</v>
      </c>
      <c r="F95" s="109">
        <f>V.Poor!T26</f>
        <v>87090.153638728734</v>
      </c>
      <c r="G95" s="109">
        <f>Poor!T26</f>
        <v>87090.15363872872</v>
      </c>
      <c r="H95" s="109">
        <f>Middle!T26</f>
        <v>87090.153638728734</v>
      </c>
      <c r="I95" s="109">
        <f>Rich!T26</f>
        <v>87090.15363872872</v>
      </c>
    </row>
    <row r="96" spans="1:9">
      <c r="A96" t="str">
        <f>V.Poor!Q27</f>
        <v>Resilience line</v>
      </c>
      <c r="F96" s="109">
        <f>V.Poor!T27</f>
        <v>0</v>
      </c>
      <c r="G96" s="109">
        <f>Poor!T27</f>
        <v>0</v>
      </c>
      <c r="H96" s="109">
        <f>Middle!T27</f>
        <v>0</v>
      </c>
      <c r="I96" s="109">
        <f>Rich!T27</f>
        <v>0</v>
      </c>
    </row>
    <row r="98" spans="1:9">
      <c r="A98" t="s">
        <v>141</v>
      </c>
      <c r="B98" s="237">
        <f>IF(B89&gt;B$88,B89-B$88,0)</f>
        <v>0</v>
      </c>
      <c r="C98" s="237">
        <f t="shared" ref="C98:I101" si="0">IF(C89&gt;C$88,C89-C$88,0)</f>
        <v>0</v>
      </c>
      <c r="D98" s="237">
        <f t="shared" si="0"/>
        <v>0</v>
      </c>
      <c r="E98" s="237">
        <f t="shared" si="0"/>
        <v>0</v>
      </c>
      <c r="F98" s="237">
        <f t="shared" si="0"/>
        <v>28322.407384848266</v>
      </c>
      <c r="G98" s="237">
        <f t="shared" si="0"/>
        <v>7065.8604417043534</v>
      </c>
      <c r="H98" s="237">
        <f t="shared" si="0"/>
        <v>0</v>
      </c>
      <c r="I98" s="237">
        <f t="shared" si="0"/>
        <v>0</v>
      </c>
    </row>
    <row r="99" spans="1:9">
      <c r="A99" t="s">
        <v>142</v>
      </c>
      <c r="B99" s="237">
        <f>IF(B90&gt;B$88,B90-B$88,0)</f>
        <v>3038.5228533498084</v>
      </c>
      <c r="C99" s="237">
        <f t="shared" si="0"/>
        <v>0</v>
      </c>
      <c r="D99" s="237">
        <f t="shared" si="0"/>
        <v>0</v>
      </c>
      <c r="E99" s="237">
        <f t="shared" si="0"/>
        <v>0</v>
      </c>
      <c r="F99" s="237">
        <f t="shared" si="0"/>
        <v>46705.234051514926</v>
      </c>
      <c r="G99" s="237">
        <f t="shared" si="0"/>
        <v>25448.687108371028</v>
      </c>
      <c r="H99" s="237">
        <f t="shared" si="0"/>
        <v>0</v>
      </c>
      <c r="I99" s="237">
        <f t="shared" si="0"/>
        <v>0</v>
      </c>
    </row>
    <row r="100" spans="1:9">
      <c r="A100" t="s">
        <v>143</v>
      </c>
      <c r="B100" s="237">
        <f>IF(B91&gt;B$88,B91-B$88,0)</f>
        <v>35776.442853349821</v>
      </c>
      <c r="C100" s="237">
        <f t="shared" si="0"/>
        <v>417.28373872459633</v>
      </c>
      <c r="D100" s="237">
        <f t="shared" si="0"/>
        <v>0</v>
      </c>
      <c r="E100" s="237">
        <f t="shared" si="0"/>
        <v>0</v>
      </c>
      <c r="F100" s="237">
        <f t="shared" si="0"/>
        <v>79443.154051514939</v>
      </c>
      <c r="G100" s="237">
        <f t="shared" si="0"/>
        <v>58186.607108371019</v>
      </c>
      <c r="H100" s="237">
        <f t="shared" si="0"/>
        <v>25851.877216185923</v>
      </c>
      <c r="I100" s="237">
        <f t="shared" si="0"/>
        <v>0</v>
      </c>
    </row>
    <row r="101" spans="1:9" ht="16" thickBot="1">
      <c r="A101" s="265" t="s">
        <v>144</v>
      </c>
      <c r="B101" s="266">
        <f>IF(B92&gt;B$88,B92-B$88,0)</f>
        <v>0</v>
      </c>
      <c r="C101" s="266">
        <f t="shared" si="0"/>
        <v>0</v>
      </c>
      <c r="D101" s="266">
        <f t="shared" si="0"/>
        <v>0</v>
      </c>
      <c r="E101" s="266">
        <f t="shared" si="0"/>
        <v>0</v>
      </c>
      <c r="F101" s="266">
        <f t="shared" si="0"/>
        <v>0</v>
      </c>
      <c r="G101" s="266">
        <f t="shared" si="0"/>
        <v>0</v>
      </c>
      <c r="H101" s="266">
        <f t="shared" si="0"/>
        <v>0</v>
      </c>
      <c r="I101" s="266">
        <f t="shared" si="0"/>
        <v>0</v>
      </c>
    </row>
    <row r="102" spans="1:9">
      <c r="A102" t="str">
        <f>V.Poor!Q37</f>
        <v>Own crops Consumed</v>
      </c>
      <c r="B102" s="109">
        <f>V.Poor!R37</f>
        <v>984.25445590616596</v>
      </c>
      <c r="C102" s="109">
        <f>Poor!R37</f>
        <v>2704.266735645449</v>
      </c>
      <c r="D102" s="109">
        <f>Middle!R37</f>
        <v>2492.8571902326798</v>
      </c>
      <c r="E102" s="109">
        <f>Rich!R37</f>
        <v>1745.9206346047977</v>
      </c>
      <c r="F102" s="109">
        <f>V.Poor!T37</f>
        <v>414.0773225620311</v>
      </c>
      <c r="G102" s="109">
        <f>Poor!T37</f>
        <v>1351.9601796764625</v>
      </c>
      <c r="H102" s="109">
        <f>Middle!T37</f>
        <v>6814.0638253633415</v>
      </c>
      <c r="I102" s="109">
        <f>Rich!T37</f>
        <v>926.40555153396406</v>
      </c>
    </row>
    <row r="103" spans="1:9">
      <c r="A103" t="str">
        <f>V.Poor!Q38</f>
        <v>Own crops sold</v>
      </c>
      <c r="B103" s="109">
        <f>V.Poor!R38</f>
        <v>0</v>
      </c>
      <c r="C103" s="109">
        <f>Poor!R38</f>
        <v>1660</v>
      </c>
      <c r="D103" s="109">
        <f>Middle!R38</f>
        <v>25314.285714285714</v>
      </c>
      <c r="E103" s="109">
        <f>Rich!R38</f>
        <v>10032</v>
      </c>
      <c r="F103" s="109">
        <f>V.Poor!T38</f>
        <v>0</v>
      </c>
      <c r="G103" s="109">
        <f>Poor!T38</f>
        <v>419.99999999999989</v>
      </c>
      <c r="H103" s="109">
        <f>Middle!T38</f>
        <v>5252.4425796988826</v>
      </c>
      <c r="I103" s="109">
        <f>Rich!T38</f>
        <v>3241.7684285637906</v>
      </c>
    </row>
    <row r="104" spans="1:9">
      <c r="A104" t="str">
        <f>V.Poor!Q39</f>
        <v>Animal products consumed</v>
      </c>
      <c r="B104" s="109">
        <f>V.Poor!R39</f>
        <v>119.18500810595445</v>
      </c>
      <c r="C104" s="109">
        <f>Poor!R39</f>
        <v>570.43548525155074</v>
      </c>
      <c r="D104" s="109">
        <f>Middle!R39</f>
        <v>1656.3641471326373</v>
      </c>
      <c r="E104" s="109">
        <f>Rich!R39</f>
        <v>2032.2021217743129</v>
      </c>
      <c r="F104" s="109">
        <f>V.Poor!T39</f>
        <v>39.331052674964965</v>
      </c>
      <c r="G104" s="109">
        <f>Poor!T39</f>
        <v>188.24371013301172</v>
      </c>
      <c r="H104" s="109">
        <f>Middle!T39</f>
        <v>546.60016855377023</v>
      </c>
      <c r="I104" s="109">
        <f>Rich!T39</f>
        <v>670.6267001855233</v>
      </c>
    </row>
    <row r="105" spans="1:9">
      <c r="A105" t="str">
        <f>V.Poor!Q40</f>
        <v>Animal products sold</v>
      </c>
      <c r="B105" s="109">
        <f>V.Poor!R40</f>
        <v>0</v>
      </c>
      <c r="C105" s="109">
        <f>Poor!R40</f>
        <v>0</v>
      </c>
      <c r="D105" s="109">
        <f>Middle!R40</f>
        <v>0</v>
      </c>
      <c r="E105" s="109">
        <f>Rich!R40</f>
        <v>0</v>
      </c>
      <c r="F105" s="109">
        <f>V.Poor!T40</f>
        <v>0</v>
      </c>
      <c r="G105" s="109">
        <f>Poor!T40</f>
        <v>0</v>
      </c>
      <c r="H105" s="109">
        <f>Middle!T40</f>
        <v>0</v>
      </c>
      <c r="I105" s="109">
        <f>Rich!T40</f>
        <v>0</v>
      </c>
    </row>
    <row r="106" spans="1:9">
      <c r="A106" t="str">
        <f>V.Poor!Q41</f>
        <v>Animals sold</v>
      </c>
      <c r="B106" s="109">
        <f>V.Poor!R41</f>
        <v>1285.7142857142858</v>
      </c>
      <c r="C106" s="109">
        <f>Poor!R41</f>
        <v>9750</v>
      </c>
      <c r="D106" s="109">
        <f>Middle!R41</f>
        <v>28457.142857142859</v>
      </c>
      <c r="E106" s="109">
        <f>Rich!R41</f>
        <v>32750</v>
      </c>
      <c r="F106" s="109">
        <f>V.Poor!T41</f>
        <v>758.57142857142856</v>
      </c>
      <c r="G106" s="109">
        <f>Poor!T41</f>
        <v>4277.5</v>
      </c>
      <c r="H106" s="109">
        <f>Middle!T41</f>
        <v>20733.121494092873</v>
      </c>
      <c r="I106" s="109">
        <f>Rich!T41</f>
        <v>19386.805045970756</v>
      </c>
    </row>
    <row r="107" spans="1:9">
      <c r="A107" t="str">
        <f>V.Poor!Q42</f>
        <v>Wild foods consumed and sold</v>
      </c>
      <c r="B107" s="109">
        <f>V.Poor!R42</f>
        <v>0</v>
      </c>
      <c r="C107" s="109">
        <f>Poor!R42</f>
        <v>0</v>
      </c>
      <c r="D107" s="109">
        <f>Middle!R42</f>
        <v>0</v>
      </c>
      <c r="E107" s="109">
        <f>Rich!R42</f>
        <v>0</v>
      </c>
      <c r="F107" s="109">
        <f>V.Poor!T42</f>
        <v>0</v>
      </c>
      <c r="G107" s="109">
        <f>Poor!T42</f>
        <v>0</v>
      </c>
      <c r="H107" s="109">
        <f>Middle!T42</f>
        <v>0</v>
      </c>
      <c r="I107" s="109">
        <f>Rich!T42</f>
        <v>0</v>
      </c>
    </row>
    <row r="108" spans="1:9">
      <c r="A108" t="str">
        <f>V.Poor!Q43</f>
        <v>Labour - casual</v>
      </c>
      <c r="B108" s="109">
        <f>V.Poor!R43</f>
        <v>7428.5714285714284</v>
      </c>
      <c r="C108" s="109">
        <f>Poor!R43</f>
        <v>4960</v>
      </c>
      <c r="D108" s="109">
        <f>Middle!R43</f>
        <v>0</v>
      </c>
      <c r="E108" s="109">
        <f>Rich!R43</f>
        <v>0</v>
      </c>
      <c r="F108" s="109">
        <f>V.Poor!T43</f>
        <v>4122.8571428571431</v>
      </c>
      <c r="G108" s="109">
        <f>Poor!T43</f>
        <v>2752.8000000000006</v>
      </c>
      <c r="H108" s="109">
        <f>Middle!T43</f>
        <v>10357.028571428571</v>
      </c>
      <c r="I108" s="109">
        <f>Rich!T43</f>
        <v>0</v>
      </c>
    </row>
    <row r="109" spans="1:9">
      <c r="A109" t="str">
        <f>V.Poor!Q44</f>
        <v>Labour - formal emp</v>
      </c>
      <c r="B109" s="109">
        <f>V.Poor!R44</f>
        <v>0</v>
      </c>
      <c r="C109" s="109">
        <f>Poor!R44</f>
        <v>0</v>
      </c>
      <c r="D109" s="109">
        <f>Middle!R44</f>
        <v>21942.857142857141</v>
      </c>
      <c r="E109" s="109">
        <f>Rich!R44</f>
        <v>75600</v>
      </c>
      <c r="F109" s="109">
        <f>V.Poor!T44</f>
        <v>0</v>
      </c>
      <c r="G109" s="109">
        <f>Poor!T44</f>
        <v>0</v>
      </c>
      <c r="H109" s="109">
        <f>Middle!T44</f>
        <v>0</v>
      </c>
      <c r="I109" s="109">
        <f>Rich!T44</f>
        <v>35683.199999999997</v>
      </c>
    </row>
    <row r="110" spans="1:9">
      <c r="A110" t="str">
        <f>V.Poor!Q45</f>
        <v>Labour - public works</v>
      </c>
      <c r="B110" s="109">
        <f>V.Poor!R45</f>
        <v>0</v>
      </c>
      <c r="C110" s="109">
        <f>Poor!R45</f>
        <v>14916</v>
      </c>
      <c r="D110" s="109">
        <f>Middle!R45</f>
        <v>0</v>
      </c>
      <c r="E110" s="109">
        <f>Rich!R45</f>
        <v>0</v>
      </c>
      <c r="F110" s="109">
        <f>V.Poor!T45</f>
        <v>0</v>
      </c>
      <c r="G110" s="109">
        <f>Poor!T45</f>
        <v>17600.879999999997</v>
      </c>
      <c r="H110" s="109">
        <f>Middle!T45</f>
        <v>0</v>
      </c>
      <c r="I110" s="109">
        <f>Rich!T45</f>
        <v>0</v>
      </c>
    </row>
    <row r="111" spans="1:9">
      <c r="A111" t="str">
        <f>V.Poor!Q46</f>
        <v>Self - employment</v>
      </c>
      <c r="B111" s="109">
        <f>V.Poor!R46</f>
        <v>0</v>
      </c>
      <c r="C111" s="109">
        <f>Poor!R46</f>
        <v>0</v>
      </c>
      <c r="D111" s="109">
        <f>Middle!R46</f>
        <v>0</v>
      </c>
      <c r="E111" s="109">
        <f>Rich!R46</f>
        <v>0</v>
      </c>
      <c r="F111" s="109">
        <f>V.Poor!T46</f>
        <v>0</v>
      </c>
      <c r="G111" s="109">
        <f>Poor!T46</f>
        <v>0</v>
      </c>
      <c r="H111" s="109">
        <f>Middle!T46</f>
        <v>0</v>
      </c>
      <c r="I111" s="109">
        <f>Rich!T46</f>
        <v>0</v>
      </c>
    </row>
    <row r="112" spans="1:9">
      <c r="A112" t="str">
        <f>V.Poor!Q47</f>
        <v>Small business/petty trading</v>
      </c>
      <c r="B112" s="109">
        <f>V.Poor!R47</f>
        <v>0</v>
      </c>
      <c r="C112" s="109">
        <f>Poor!R47</f>
        <v>0</v>
      </c>
      <c r="D112" s="109">
        <f>Middle!R47</f>
        <v>0</v>
      </c>
      <c r="E112" s="109">
        <f>Rich!R47</f>
        <v>62700</v>
      </c>
      <c r="F112" s="109">
        <f>V.Poor!T47</f>
        <v>0</v>
      </c>
      <c r="G112" s="109">
        <f>Poor!T47</f>
        <v>0</v>
      </c>
      <c r="H112" s="109">
        <f>Middle!T47</f>
        <v>0</v>
      </c>
      <c r="I112" s="109">
        <f>Rich!T47</f>
        <v>59188.800000000003</v>
      </c>
    </row>
    <row r="113" spans="1:9">
      <c r="A113" t="str">
        <f>V.Poor!Q48</f>
        <v>Food transfer - official</v>
      </c>
      <c r="B113" s="109">
        <f>V.Poor!R48</f>
        <v>1401.3106912413493</v>
      </c>
      <c r="C113" s="109">
        <f>Poor!R48</f>
        <v>1401.3106912413493</v>
      </c>
      <c r="D113" s="109">
        <f>Middle!R48</f>
        <v>1401.3106912413493</v>
      </c>
      <c r="E113" s="109">
        <f>Rich!R48</f>
        <v>0</v>
      </c>
      <c r="F113" s="109">
        <f>V.Poor!T48</f>
        <v>2312.1626405482261</v>
      </c>
      <c r="G113" s="109">
        <f>Poor!T48</f>
        <v>2312.1626405482261</v>
      </c>
      <c r="H113" s="109">
        <f>Middle!T48</f>
        <v>2312.1626405482261</v>
      </c>
      <c r="I113" s="109">
        <f>Rich!T48</f>
        <v>0</v>
      </c>
    </row>
    <row r="114" spans="1:9">
      <c r="A114" t="str">
        <f>V.Poor!Q49</f>
        <v>Food transfer - gifts</v>
      </c>
      <c r="B114" s="109">
        <f>V.Poor!R49</f>
        <v>0</v>
      </c>
      <c r="C114" s="109">
        <f>Poor!R49</f>
        <v>0</v>
      </c>
      <c r="D114" s="109">
        <f>Middle!R49</f>
        <v>0</v>
      </c>
      <c r="E114" s="109">
        <f>Rich!R49</f>
        <v>0</v>
      </c>
      <c r="F114" s="109">
        <f>V.Poor!T49</f>
        <v>0</v>
      </c>
      <c r="G114" s="109">
        <f>Poor!T49</f>
        <v>0</v>
      </c>
      <c r="H114" s="109">
        <f>Middle!T49</f>
        <v>0</v>
      </c>
      <c r="I114" s="109">
        <f>Rich!T49</f>
        <v>0</v>
      </c>
    </row>
    <row r="115" spans="1:9">
      <c r="A115" t="str">
        <f>V.Poor!Q50</f>
        <v>Cash transfer - official</v>
      </c>
      <c r="B115" s="109">
        <f>V.Poor!R50</f>
        <v>23108.571428571428</v>
      </c>
      <c r="C115" s="109">
        <f>Poor!R50</f>
        <v>22020</v>
      </c>
      <c r="D115" s="109">
        <f>Middle!R50</f>
        <v>8708.5714285714294</v>
      </c>
      <c r="E115" s="109">
        <f>Rich!R50</f>
        <v>7620</v>
      </c>
      <c r="F115" s="109">
        <f>V.Poor!T50</f>
        <v>0</v>
      </c>
      <c r="G115" s="109">
        <f>Poor!T50</f>
        <v>0</v>
      </c>
      <c r="H115" s="109">
        <f>Middle!T50</f>
        <v>0</v>
      </c>
      <c r="I115" s="109">
        <f>Rich!T50</f>
        <v>0</v>
      </c>
    </row>
    <row r="116" spans="1:9">
      <c r="A116" t="str">
        <f>V.Poor!Q51</f>
        <v>Cash transfer - gifts</v>
      </c>
      <c r="B116" s="109">
        <f>V.Poor!R51</f>
        <v>0</v>
      </c>
      <c r="C116" s="109">
        <f>Poor!R51</f>
        <v>0</v>
      </c>
      <c r="D116" s="109">
        <f>Middle!R51</f>
        <v>13714.285714285714</v>
      </c>
      <c r="E116" s="109">
        <f>Rich!R51</f>
        <v>26040</v>
      </c>
      <c r="F116" s="109">
        <f>V.Poor!T51</f>
        <v>0</v>
      </c>
      <c r="G116" s="109">
        <f>Poor!T51</f>
        <v>0</v>
      </c>
      <c r="H116" s="109">
        <f>Middle!T51</f>
        <v>15222.857142857143</v>
      </c>
      <c r="I116" s="109">
        <f>Rich!T51</f>
        <v>27030.000000000004</v>
      </c>
    </row>
    <row r="117" spans="1:9">
      <c r="A117" t="str">
        <f>V.Poor!Q52</f>
        <v>Other</v>
      </c>
      <c r="B117" s="109">
        <f>V.Poor!R52</f>
        <v>0</v>
      </c>
      <c r="C117" s="109">
        <f>Poor!R52</f>
        <v>0</v>
      </c>
      <c r="D117" s="109">
        <f>Middle!R52</f>
        <v>0</v>
      </c>
      <c r="E117" s="109">
        <f>Rich!R52</f>
        <v>0</v>
      </c>
      <c r="F117" s="109">
        <f>V.Poor!T52</f>
        <v>0</v>
      </c>
      <c r="G117" s="109">
        <f>Poor!T52</f>
        <v>0</v>
      </c>
      <c r="H117" s="109">
        <f>Middle!T52</f>
        <v>0</v>
      </c>
      <c r="I117" s="109">
        <f>Rich!T52</f>
        <v>0</v>
      </c>
    </row>
    <row r="118" spans="1:9">
      <c r="A118" t="str">
        <f>V.Poor!Q53</f>
        <v>TOTAL</v>
      </c>
      <c r="B118" s="109">
        <f>V.Poor!R53</f>
        <v>34327.607298110612</v>
      </c>
      <c r="C118" s="109">
        <f>Poor!R53</f>
        <v>57982.012912138351</v>
      </c>
      <c r="D118" s="109">
        <f>Middle!R53</f>
        <v>103687.67488574953</v>
      </c>
      <c r="E118" s="109">
        <f>Rich!R53</f>
        <v>218520.1227563791</v>
      </c>
      <c r="F118" s="109">
        <f>V.Poor!T53</f>
        <v>7646.9995872137933</v>
      </c>
      <c r="G118" s="109">
        <f>Poor!T53</f>
        <v>28903.5465303577</v>
      </c>
      <c r="H118" s="109">
        <f>Middle!T53</f>
        <v>61238.276422542811</v>
      </c>
      <c r="I118" s="109">
        <f>Rich!T53</f>
        <v>146127.60572625403</v>
      </c>
    </row>
    <row r="119" spans="1:9">
      <c r="A119" t="str">
        <f>V.Poor!Q54</f>
        <v>Food Poverty line</v>
      </c>
      <c r="B119" s="109">
        <f>V.Poor!R54</f>
        <v>24062.646384067204</v>
      </c>
      <c r="C119" s="109">
        <f>Poor!R54</f>
        <v>24062.646384067204</v>
      </c>
      <c r="D119" s="109">
        <f>Middle!R54</f>
        <v>24062.6463840672</v>
      </c>
      <c r="E119" s="109">
        <f>Rich!R54</f>
        <v>24062.646384067208</v>
      </c>
      <c r="F119" s="109">
        <f>V.Poor!T54</f>
        <v>35969.406972062061</v>
      </c>
      <c r="G119" s="109">
        <f>Poor!T54</f>
        <v>35969.406972062054</v>
      </c>
      <c r="H119" s="109">
        <f>Middle!T54</f>
        <v>35969.406972062054</v>
      </c>
      <c r="I119" s="109">
        <f>Rich!T54</f>
        <v>35969.406972062061</v>
      </c>
    </row>
    <row r="120" spans="1:9">
      <c r="A120" t="str">
        <f>V.Poor!Q55</f>
        <v>Lower Bound Poverty line</v>
      </c>
      <c r="B120" s="109">
        <f>V.Poor!R55</f>
        <v>42445.473050733868</v>
      </c>
      <c r="C120" s="109">
        <f>Poor!R55</f>
        <v>42445.473050733875</v>
      </c>
      <c r="D120" s="109">
        <f>Middle!R55</f>
        <v>42445.473050733868</v>
      </c>
      <c r="E120" s="109">
        <f>Rich!R55</f>
        <v>42445.473050733883</v>
      </c>
      <c r="F120" s="109">
        <f>V.Poor!T55</f>
        <v>54352.233638728721</v>
      </c>
      <c r="G120" s="109">
        <f>Poor!T55</f>
        <v>54352.233638728729</v>
      </c>
      <c r="H120" s="109">
        <f>Middle!T55</f>
        <v>54352.233638728721</v>
      </c>
      <c r="I120" s="109">
        <f>Rich!T55</f>
        <v>54352.233638728729</v>
      </c>
    </row>
    <row r="121" spans="1:9">
      <c r="A121" t="str">
        <f>V.Poor!Q56</f>
        <v>Upper Bound Poverty line</v>
      </c>
      <c r="B121" s="109">
        <f>V.Poor!R56</f>
        <v>75183.393050733866</v>
      </c>
      <c r="C121" s="109">
        <f>Poor!R56</f>
        <v>75183.393050733881</v>
      </c>
      <c r="D121" s="109">
        <f>Middle!R56</f>
        <v>75183.393050733866</v>
      </c>
      <c r="E121" s="109">
        <f>Rich!R56</f>
        <v>75183.393050733881</v>
      </c>
      <c r="F121" s="109">
        <f>V.Poor!T56</f>
        <v>87090.153638728734</v>
      </c>
      <c r="G121" s="109">
        <f>Poor!T56</f>
        <v>87090.15363872872</v>
      </c>
      <c r="H121" s="109">
        <f>Middle!T56</f>
        <v>87090.153638728734</v>
      </c>
      <c r="I121" s="109">
        <f>Rich!T56</f>
        <v>87090.15363872872</v>
      </c>
    </row>
    <row r="122" spans="1:9">
      <c r="A122">
        <f>V.Poor!Q57</f>
        <v>0</v>
      </c>
      <c r="B122" s="109">
        <f>V.Poor!R57</f>
        <v>0</v>
      </c>
      <c r="C122" s="109">
        <f>Poor!R57</f>
        <v>0</v>
      </c>
      <c r="D122" s="109">
        <f>Middle!R57</f>
        <v>0</v>
      </c>
      <c r="E122" s="109">
        <f>Rich!R57</f>
        <v>0</v>
      </c>
      <c r="F122" s="109">
        <f>V.Poor!T57</f>
        <v>0</v>
      </c>
      <c r="G122" s="109">
        <f>Poor!T57</f>
        <v>0</v>
      </c>
      <c r="H122" s="109">
        <f>Middle!T57</f>
        <v>0</v>
      </c>
      <c r="I122" s="109">
        <f>Rich!T57</f>
        <v>0</v>
      </c>
    </row>
    <row r="123" spans="1:9">
      <c r="A123" t="str">
        <f>V.Poor!Q54</f>
        <v>Food Poverty line</v>
      </c>
      <c r="F123" s="109">
        <f>V.Poor!T54</f>
        <v>35969.406972062061</v>
      </c>
      <c r="G123" s="109">
        <f>Poor!T54</f>
        <v>35969.406972062054</v>
      </c>
      <c r="H123" s="109">
        <f>Middle!T54</f>
        <v>35969.406972062054</v>
      </c>
      <c r="I123" s="109">
        <f>Rich!T54</f>
        <v>35969.406972062061</v>
      </c>
    </row>
    <row r="124" spans="1:9">
      <c r="A124" t="str">
        <f>V.Poor!Q55</f>
        <v>Lower Bound Poverty line</v>
      </c>
      <c r="F124" s="109">
        <f>V.Poor!T55</f>
        <v>54352.233638728721</v>
      </c>
      <c r="G124" s="109">
        <f>Poor!T55</f>
        <v>54352.233638728729</v>
      </c>
      <c r="H124" s="109">
        <f>Middle!T55</f>
        <v>54352.233638728721</v>
      </c>
      <c r="I124" s="109">
        <f>Rich!T55</f>
        <v>54352.233638728729</v>
      </c>
    </row>
    <row r="125" spans="1:9">
      <c r="A125" t="str">
        <f>V.Poor!Q56</f>
        <v>Upper Bound Poverty line</v>
      </c>
      <c r="F125" s="109">
        <f>V.Poor!T56</f>
        <v>87090.153638728734</v>
      </c>
      <c r="G125" s="109">
        <f>Poor!T56</f>
        <v>87090.15363872872</v>
      </c>
      <c r="H125" s="109">
        <f>Middle!T56</f>
        <v>87090.153638728734</v>
      </c>
      <c r="I125" s="109">
        <f>Rich!T56</f>
        <v>87090.15363872872</v>
      </c>
    </row>
    <row r="126" spans="1:9">
      <c r="A126">
        <f>V.Poor!Q57</f>
        <v>0</v>
      </c>
      <c r="F126" s="109">
        <f>V.Poor!T57</f>
        <v>0</v>
      </c>
      <c r="G126" s="109">
        <f>Poor!T57</f>
        <v>0</v>
      </c>
      <c r="H126" s="109">
        <f>Middle!T57</f>
        <v>0</v>
      </c>
      <c r="I126" s="109">
        <f>Rich!T57</f>
        <v>0</v>
      </c>
    </row>
    <row r="128" spans="1:9">
      <c r="A128" t="s">
        <v>141</v>
      </c>
      <c r="B128" s="237">
        <f>IF(B119&gt;B$88,B119-B$88,0)</f>
        <v>0</v>
      </c>
      <c r="C128" s="237">
        <f t="shared" ref="C128:I131" si="1">IF(C119&gt;C$88,C119-C$88,0)</f>
        <v>0</v>
      </c>
      <c r="D128" s="237">
        <f t="shared" si="1"/>
        <v>0</v>
      </c>
      <c r="E128" s="237">
        <f t="shared" si="1"/>
        <v>0</v>
      </c>
      <c r="F128" s="237">
        <f t="shared" si="1"/>
        <v>28322.407384848266</v>
      </c>
      <c r="G128" s="237">
        <f t="shared" si="1"/>
        <v>7065.8604417043534</v>
      </c>
      <c r="H128" s="237">
        <f t="shared" si="1"/>
        <v>0</v>
      </c>
      <c r="I128" s="237">
        <f t="shared" si="1"/>
        <v>0</v>
      </c>
    </row>
    <row r="129" spans="1:9">
      <c r="A129" t="s">
        <v>142</v>
      </c>
      <c r="B129" s="237">
        <f>IF(B120&gt;B$88,B120-B$88,0)</f>
        <v>0</v>
      </c>
      <c r="C129" s="237">
        <f t="shared" si="1"/>
        <v>0</v>
      </c>
      <c r="D129" s="237">
        <f t="shared" si="1"/>
        <v>0</v>
      </c>
      <c r="E129" s="237">
        <f t="shared" si="1"/>
        <v>0</v>
      </c>
      <c r="F129" s="237">
        <f t="shared" si="1"/>
        <v>46705.234051514926</v>
      </c>
      <c r="G129" s="237">
        <f t="shared" si="1"/>
        <v>25448.687108371028</v>
      </c>
      <c r="H129" s="237">
        <f t="shared" si="1"/>
        <v>0</v>
      </c>
      <c r="I129" s="237">
        <f t="shared" si="1"/>
        <v>0</v>
      </c>
    </row>
    <row r="130" spans="1:9">
      <c r="A130" t="s">
        <v>143</v>
      </c>
      <c r="B130" s="237">
        <f>IF(B121&gt;B$88,B121-B$88,0)</f>
        <v>23869.682265354953</v>
      </c>
      <c r="C130" s="237">
        <f t="shared" si="1"/>
        <v>0</v>
      </c>
      <c r="D130" s="237">
        <f t="shared" si="1"/>
        <v>0</v>
      </c>
      <c r="E130" s="237">
        <f t="shared" si="1"/>
        <v>0</v>
      </c>
      <c r="F130" s="237">
        <f t="shared" si="1"/>
        <v>79443.154051514939</v>
      </c>
      <c r="G130" s="237">
        <f t="shared" si="1"/>
        <v>58186.607108371019</v>
      </c>
      <c r="H130" s="237">
        <f t="shared" si="1"/>
        <v>25851.877216185923</v>
      </c>
      <c r="I130" s="237">
        <f t="shared" si="1"/>
        <v>0</v>
      </c>
    </row>
    <row r="131" spans="1:9">
      <c r="A131" t="s">
        <v>144</v>
      </c>
      <c r="B131" s="237">
        <f>IF(B122&gt;B$88,B122-B$88,0)</f>
        <v>0</v>
      </c>
      <c r="C131" s="237">
        <f t="shared" si="1"/>
        <v>0</v>
      </c>
      <c r="D131" s="237">
        <f t="shared" si="1"/>
        <v>0</v>
      </c>
      <c r="E131" s="237">
        <f t="shared" si="1"/>
        <v>0</v>
      </c>
      <c r="F131" s="237">
        <f t="shared" si="1"/>
        <v>0</v>
      </c>
      <c r="G131" s="237">
        <f t="shared" si="1"/>
        <v>0</v>
      </c>
      <c r="H131" s="237">
        <f t="shared" si="1"/>
        <v>0</v>
      </c>
      <c r="I131" s="237">
        <f t="shared" si="1"/>
        <v>0</v>
      </c>
    </row>
  </sheetData>
  <mergeCells count="5">
    <mergeCell ref="R3:U3"/>
    <mergeCell ref="K2:Q2"/>
    <mergeCell ref="C3:E3"/>
    <mergeCell ref="G3:J3"/>
    <mergeCell ref="L3:P3"/>
  </mergeCells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zoomScale="75" workbookViewId="0">
      <selection activeCell="Z18" sqref="Z18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s="248" customFormat="1" ht="19">
      <c r="A2" s="245"/>
      <c r="B2" s="245"/>
      <c r="C2" s="245"/>
      <c r="D2" s="245"/>
      <c r="E2" s="245"/>
      <c r="F2" s="245"/>
      <c r="G2" s="243"/>
      <c r="H2" s="243"/>
      <c r="I2" s="243"/>
      <c r="J2" s="243"/>
      <c r="K2" s="258" t="str">
        <f>Poor!A1</f>
        <v>ZAKHC: 59208</v>
      </c>
      <c r="L2" s="258"/>
      <c r="M2" s="258"/>
      <c r="N2" s="258"/>
      <c r="O2" s="258"/>
      <c r="P2" s="258"/>
      <c r="Q2" s="258"/>
      <c r="R2" s="245"/>
      <c r="S2" s="245"/>
      <c r="T2" s="245"/>
      <c r="U2" s="245"/>
      <c r="V2" s="245"/>
    </row>
    <row r="3" spans="1:22" s="92" customFormat="1" ht="17">
      <c r="A3" s="90"/>
      <c r="B3" s="259" t="str">
        <f>V.Poor!A67</f>
        <v>Expenditure : Very Poor HHs</v>
      </c>
      <c r="C3" s="259"/>
      <c r="D3" s="259"/>
      <c r="E3" s="259"/>
      <c r="F3" s="247"/>
      <c r="G3" s="257" t="str">
        <f>Poor!A67</f>
        <v>Expenditure : Poor HHs</v>
      </c>
      <c r="H3" s="257"/>
      <c r="I3" s="257"/>
      <c r="J3" s="257"/>
      <c r="K3" s="243"/>
      <c r="L3" s="257" t="str">
        <f>Middle!A67</f>
        <v>Expenditure : Middle HHs</v>
      </c>
      <c r="M3" s="257"/>
      <c r="N3" s="257"/>
      <c r="O3" s="257"/>
      <c r="P3" s="257"/>
      <c r="Q3" s="244"/>
      <c r="R3" s="257" t="str">
        <f>Rich!A67</f>
        <v>Expenditure : Better-off HHs</v>
      </c>
      <c r="S3" s="257"/>
      <c r="T3" s="257"/>
      <c r="U3" s="257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20"/>
  <sheetViews>
    <sheetView zoomScale="125" zoomScaleNormal="125" zoomScalePageLayoutView="125" workbookViewId="0">
      <pane xSplit="1" ySplit="2" topLeftCell="B70" activePane="bottomRight" state="frozen"/>
      <selection pane="topRight" activeCell="B1" sqref="B1"/>
      <selection pane="bottomLeft" activeCell="A3" sqref="A3"/>
      <selection pane="bottomRight" activeCell="AD98" sqref="AD98"/>
    </sheetView>
  </sheetViews>
  <sheetFormatPr baseColWidth="10" defaultColWidth="11.5703125" defaultRowHeight="11" x14ac:dyDescent="0"/>
  <cols>
    <col min="1" max="1" width="23.28515625" style="201" bestFit="1" customWidth="1"/>
    <col min="2" max="2" width="9" style="201" bestFit="1" customWidth="1"/>
    <col min="3" max="4" width="6.5703125" style="201" bestFit="1" customWidth="1"/>
    <col min="5" max="5" width="8.28515625" style="201" bestFit="1" customWidth="1"/>
    <col min="6" max="9" width="7.5703125" style="201" bestFit="1" customWidth="1"/>
    <col min="10" max="10" width="8.42578125" style="201" bestFit="1" customWidth="1"/>
    <col min="11" max="14" width="7.5703125" style="201" bestFit="1" customWidth="1"/>
    <col min="15" max="15" width="8.28515625" style="201" customWidth="1"/>
    <col min="16" max="43" width="7.42578125" style="201" bestFit="1" customWidth="1"/>
    <col min="44" max="89" width="8.42578125" style="201" bestFit="1" customWidth="1"/>
    <col min="90" max="105" width="9.42578125" style="201" bestFit="1" customWidth="1"/>
    <col min="106" max="16384" width="11.5703125" style="201"/>
  </cols>
  <sheetData>
    <row r="1" spans="1:106">
      <c r="B1" s="201" t="s">
        <v>97</v>
      </c>
      <c r="C1" s="201" t="s">
        <v>96</v>
      </c>
      <c r="D1" s="201" t="s">
        <v>98</v>
      </c>
      <c r="E1" s="201" t="s">
        <v>99</v>
      </c>
    </row>
    <row r="2" spans="1:106">
      <c r="B2" s="202">
        <f>[1]!wb_summary</f>
        <v>0.5</v>
      </c>
      <c r="C2" s="202">
        <f>[1]WB!$CK$10</f>
        <v>0.25</v>
      </c>
      <c r="D2" s="202">
        <f>[1]WB!$CK$11</f>
        <v>0.15</v>
      </c>
      <c r="E2" s="202">
        <f>[1]WB!$CK$12</f>
        <v>0.1</v>
      </c>
      <c r="F2" s="202">
        <v>0.01</v>
      </c>
      <c r="G2" s="202">
        <v>0.02</v>
      </c>
      <c r="H2" s="202">
        <v>0.03</v>
      </c>
      <c r="I2" s="202">
        <v>0.04</v>
      </c>
      <c r="J2" s="202">
        <v>0.05</v>
      </c>
      <c r="K2" s="202">
        <v>0.06</v>
      </c>
      <c r="L2" s="202">
        <v>7.0000000000000007E-2</v>
      </c>
      <c r="M2" s="202">
        <v>0.08</v>
      </c>
      <c r="N2" s="202">
        <v>0.09</v>
      </c>
      <c r="O2" s="202">
        <v>0.1</v>
      </c>
      <c r="P2" s="202">
        <v>0.11</v>
      </c>
      <c r="Q2" s="202">
        <v>0.12</v>
      </c>
      <c r="R2" s="202">
        <v>0.13</v>
      </c>
      <c r="S2" s="202">
        <v>0.14000000000000001</v>
      </c>
      <c r="T2" s="202">
        <v>0.15</v>
      </c>
      <c r="U2" s="202">
        <v>0.16</v>
      </c>
      <c r="V2" s="202">
        <v>0.17</v>
      </c>
      <c r="W2" s="202">
        <v>0.18</v>
      </c>
      <c r="X2" s="202">
        <v>0.19</v>
      </c>
      <c r="Y2" s="202">
        <v>0.2</v>
      </c>
      <c r="Z2" s="202">
        <v>0.21</v>
      </c>
      <c r="AA2" s="202">
        <v>0.22</v>
      </c>
      <c r="AB2" s="202">
        <v>0.23</v>
      </c>
      <c r="AC2" s="202">
        <v>0.24</v>
      </c>
      <c r="AD2" s="202">
        <v>0.25</v>
      </c>
      <c r="AE2" s="202">
        <v>0.26</v>
      </c>
      <c r="AF2" s="202">
        <v>0.27</v>
      </c>
      <c r="AG2" s="202">
        <v>0.28000000000000003</v>
      </c>
      <c r="AH2" s="202">
        <v>0.28999999999999998</v>
      </c>
      <c r="AI2" s="202">
        <v>0.3</v>
      </c>
      <c r="AJ2" s="202">
        <v>0.31</v>
      </c>
      <c r="AK2" s="202">
        <v>0.32</v>
      </c>
      <c r="AL2" s="202">
        <v>0.33</v>
      </c>
      <c r="AM2" s="202">
        <v>0.34</v>
      </c>
      <c r="AN2" s="202">
        <v>0.35</v>
      </c>
      <c r="AO2" s="202">
        <v>0.36</v>
      </c>
      <c r="AP2" s="202">
        <v>0.37</v>
      </c>
      <c r="AQ2" s="202">
        <v>0.38</v>
      </c>
      <c r="AR2" s="202">
        <v>0.39</v>
      </c>
      <c r="AS2" s="202">
        <v>0.4</v>
      </c>
      <c r="AT2" s="202">
        <v>0.41</v>
      </c>
      <c r="AU2" s="202">
        <v>0.42</v>
      </c>
      <c r="AV2" s="202">
        <v>0.43</v>
      </c>
      <c r="AW2" s="202">
        <v>0.44</v>
      </c>
      <c r="AX2" s="202">
        <v>0.45</v>
      </c>
      <c r="AY2" s="202">
        <v>0.46</v>
      </c>
      <c r="AZ2" s="202">
        <v>0.47</v>
      </c>
      <c r="BA2" s="202">
        <v>0.48</v>
      </c>
      <c r="BB2" s="202">
        <v>0.49</v>
      </c>
      <c r="BC2" s="202">
        <v>0.5</v>
      </c>
      <c r="BD2" s="202">
        <v>0.51</v>
      </c>
      <c r="BE2" s="202">
        <v>0.52</v>
      </c>
      <c r="BF2" s="202">
        <v>0.53</v>
      </c>
      <c r="BG2" s="202">
        <v>0.54</v>
      </c>
      <c r="BH2" s="202">
        <v>0.55000000000000004</v>
      </c>
      <c r="BI2" s="202">
        <v>0.56000000000000005</v>
      </c>
      <c r="BJ2" s="202">
        <v>0.56999999999999995</v>
      </c>
      <c r="BK2" s="202">
        <v>0.57999999999999996</v>
      </c>
      <c r="BL2" s="202">
        <v>0.59</v>
      </c>
      <c r="BM2" s="202">
        <v>0.6</v>
      </c>
      <c r="BN2" s="202">
        <v>0.61</v>
      </c>
      <c r="BO2" s="202">
        <v>0.62</v>
      </c>
      <c r="BP2" s="202">
        <v>0.63</v>
      </c>
      <c r="BQ2" s="202">
        <v>0.64</v>
      </c>
      <c r="BR2" s="202">
        <v>0.65</v>
      </c>
      <c r="BS2" s="202">
        <v>0.66</v>
      </c>
      <c r="BT2" s="202">
        <v>0.67</v>
      </c>
      <c r="BU2" s="202">
        <v>0.68</v>
      </c>
      <c r="BV2" s="202">
        <v>0.69</v>
      </c>
      <c r="BW2" s="202">
        <v>0.7</v>
      </c>
      <c r="BX2" s="202">
        <v>0.71</v>
      </c>
      <c r="BY2" s="202">
        <v>0.72</v>
      </c>
      <c r="BZ2" s="202">
        <v>0.73</v>
      </c>
      <c r="CA2" s="202">
        <v>0.74</v>
      </c>
      <c r="CB2" s="202">
        <v>0.75</v>
      </c>
      <c r="CC2" s="202">
        <v>0.76</v>
      </c>
      <c r="CD2" s="202">
        <v>0.77</v>
      </c>
      <c r="CE2" s="202">
        <v>0.78</v>
      </c>
      <c r="CF2" s="202">
        <v>0.79</v>
      </c>
      <c r="CG2" s="202">
        <v>0.8</v>
      </c>
      <c r="CH2" s="202">
        <v>0.81</v>
      </c>
      <c r="CI2" s="202">
        <v>0.82</v>
      </c>
      <c r="CJ2" s="202">
        <v>0.83</v>
      </c>
      <c r="CK2" s="202">
        <v>0.84</v>
      </c>
      <c r="CL2" s="202">
        <v>0.85</v>
      </c>
      <c r="CM2" s="202">
        <v>0.86</v>
      </c>
      <c r="CN2" s="202">
        <v>0.87</v>
      </c>
      <c r="CO2" s="202">
        <v>0.88</v>
      </c>
      <c r="CP2" s="202">
        <v>0.89</v>
      </c>
      <c r="CQ2" s="202">
        <v>0.9</v>
      </c>
      <c r="CR2" s="202">
        <v>0.91</v>
      </c>
      <c r="CS2" s="202">
        <v>0.92</v>
      </c>
      <c r="CT2" s="202">
        <v>0.93</v>
      </c>
      <c r="CU2" s="202">
        <v>0.94</v>
      </c>
      <c r="CV2" s="202">
        <v>0.95</v>
      </c>
      <c r="CW2" s="202">
        <v>0.96</v>
      </c>
      <c r="CX2" s="202">
        <v>0.97</v>
      </c>
      <c r="CY2" s="202">
        <v>0.98</v>
      </c>
      <c r="CZ2" s="202">
        <v>0.99</v>
      </c>
      <c r="DA2" s="202">
        <v>1</v>
      </c>
      <c r="DB2" s="202"/>
    </row>
    <row r="3" spans="1:106">
      <c r="A3" s="201" t="str">
        <f>Income!A72</f>
        <v>Own crops Consumed</v>
      </c>
      <c r="B3" s="203">
        <f>Income!B72</f>
        <v>1471.2865959745848</v>
      </c>
      <c r="C3" s="203">
        <f>Income!C72</f>
        <v>4042.401206537601</v>
      </c>
      <c r="D3" s="203">
        <f>Income!D72</f>
        <v>3726.3812702696764</v>
      </c>
      <c r="E3" s="203">
        <f>Income!E72</f>
        <v>2609.8430257697223</v>
      </c>
      <c r="F3" s="204">
        <f>IF(F$2&lt;=($B$2+$C$2+$D$2),IF(F$2&lt;=($B$2+$C$2),IF(F$2&lt;=$B$2,$B3,$C3),$D3),$E3)</f>
        <v>1471.2865959745848</v>
      </c>
      <c r="G3" s="204">
        <f t="shared" ref="G3:AW7" si="0">IF(G$2&lt;=($B$2+$C$2+$D$2),IF(G$2&lt;=($B$2+$C$2),IF(G$2&lt;=$B$2,$B3,$C3),$D3),$E3)</f>
        <v>1471.2865959745848</v>
      </c>
      <c r="H3" s="204">
        <f t="shared" si="0"/>
        <v>1471.2865959745848</v>
      </c>
      <c r="I3" s="204">
        <f t="shared" si="0"/>
        <v>1471.2865959745848</v>
      </c>
      <c r="J3" s="204">
        <f t="shared" si="0"/>
        <v>1471.2865959745848</v>
      </c>
      <c r="K3" s="204">
        <f t="shared" si="0"/>
        <v>1471.2865959745848</v>
      </c>
      <c r="L3" s="204">
        <f t="shared" si="0"/>
        <v>1471.2865959745848</v>
      </c>
      <c r="M3" s="204">
        <f t="shared" si="0"/>
        <v>1471.2865959745848</v>
      </c>
      <c r="N3" s="204">
        <f t="shared" si="0"/>
        <v>1471.2865959745848</v>
      </c>
      <c r="O3" s="204">
        <f t="shared" si="0"/>
        <v>1471.2865959745848</v>
      </c>
      <c r="P3" s="204">
        <f t="shared" si="0"/>
        <v>1471.2865959745848</v>
      </c>
      <c r="Q3" s="204">
        <f t="shared" si="0"/>
        <v>1471.2865959745848</v>
      </c>
      <c r="R3" s="204">
        <f t="shared" si="0"/>
        <v>1471.2865959745848</v>
      </c>
      <c r="S3" s="204">
        <f t="shared" si="0"/>
        <v>1471.2865959745848</v>
      </c>
      <c r="T3" s="204">
        <f t="shared" si="0"/>
        <v>1471.2865959745848</v>
      </c>
      <c r="U3" s="204">
        <f t="shared" si="0"/>
        <v>1471.2865959745848</v>
      </c>
      <c r="V3" s="204">
        <f t="shared" si="0"/>
        <v>1471.2865959745848</v>
      </c>
      <c r="W3" s="204">
        <f t="shared" si="0"/>
        <v>1471.2865959745848</v>
      </c>
      <c r="X3" s="204">
        <f t="shared" si="0"/>
        <v>1471.2865959745848</v>
      </c>
      <c r="Y3" s="204">
        <f t="shared" si="0"/>
        <v>1471.2865959745848</v>
      </c>
      <c r="Z3" s="204">
        <f t="shared" si="0"/>
        <v>1471.2865959745848</v>
      </c>
      <c r="AA3" s="204">
        <f t="shared" si="0"/>
        <v>1471.2865959745848</v>
      </c>
      <c r="AB3" s="204">
        <f t="shared" si="0"/>
        <v>1471.2865959745848</v>
      </c>
      <c r="AC3" s="204">
        <f t="shared" si="0"/>
        <v>1471.2865959745848</v>
      </c>
      <c r="AD3" s="204">
        <f t="shared" si="0"/>
        <v>1471.2865959745848</v>
      </c>
      <c r="AE3" s="204">
        <f t="shared" si="0"/>
        <v>1471.2865959745848</v>
      </c>
      <c r="AF3" s="204">
        <f t="shared" si="0"/>
        <v>1471.2865959745848</v>
      </c>
      <c r="AG3" s="204">
        <f t="shared" si="0"/>
        <v>1471.2865959745848</v>
      </c>
      <c r="AH3" s="204">
        <f t="shared" si="0"/>
        <v>1471.2865959745848</v>
      </c>
      <c r="AI3" s="204">
        <f t="shared" si="0"/>
        <v>1471.2865959745848</v>
      </c>
      <c r="AJ3" s="204">
        <f t="shared" si="0"/>
        <v>1471.2865959745848</v>
      </c>
      <c r="AK3" s="204">
        <f t="shared" si="0"/>
        <v>1471.2865959745848</v>
      </c>
      <c r="AL3" s="204">
        <f t="shared" si="0"/>
        <v>1471.2865959745848</v>
      </c>
      <c r="AM3" s="204">
        <f t="shared" si="0"/>
        <v>1471.2865959745848</v>
      </c>
      <c r="AN3" s="204">
        <f t="shared" si="0"/>
        <v>1471.2865959745848</v>
      </c>
      <c r="AO3" s="204">
        <f t="shared" si="0"/>
        <v>1471.2865959745848</v>
      </c>
      <c r="AP3" s="204">
        <f t="shared" si="0"/>
        <v>1471.2865959745848</v>
      </c>
      <c r="AQ3" s="204">
        <f t="shared" si="0"/>
        <v>1471.2865959745848</v>
      </c>
      <c r="AR3" s="204">
        <f t="shared" si="0"/>
        <v>1471.2865959745848</v>
      </c>
      <c r="AS3" s="204">
        <f t="shared" si="0"/>
        <v>1471.2865959745848</v>
      </c>
      <c r="AT3" s="204">
        <f t="shared" si="0"/>
        <v>1471.2865959745848</v>
      </c>
      <c r="AU3" s="204">
        <f t="shared" si="0"/>
        <v>1471.2865959745848</v>
      </c>
      <c r="AV3" s="204">
        <f t="shared" si="0"/>
        <v>1471.2865959745848</v>
      </c>
      <c r="AW3" s="204">
        <f t="shared" si="0"/>
        <v>1471.2865959745848</v>
      </c>
      <c r="AX3" s="204">
        <f t="shared" ref="AX3:BZ10" si="1">IF(AX$2&lt;=($B$2+$C$2+$D$2),IF(AX$2&lt;=($B$2+$C$2),IF(AX$2&lt;=$B$2,$B3,$C3),$D3),$E3)</f>
        <v>1471.2865959745848</v>
      </c>
      <c r="AY3" s="204">
        <f t="shared" si="1"/>
        <v>1471.2865959745848</v>
      </c>
      <c r="AZ3" s="204">
        <f t="shared" si="1"/>
        <v>1471.2865959745848</v>
      </c>
      <c r="BA3" s="204">
        <f t="shared" si="1"/>
        <v>1471.2865959745848</v>
      </c>
      <c r="BB3" s="204">
        <f t="shared" si="1"/>
        <v>1471.2865959745848</v>
      </c>
      <c r="BC3" s="204">
        <f t="shared" si="1"/>
        <v>1471.2865959745848</v>
      </c>
      <c r="BD3" s="204">
        <f t="shared" si="1"/>
        <v>4042.401206537601</v>
      </c>
      <c r="BE3" s="204">
        <f t="shared" si="1"/>
        <v>4042.401206537601</v>
      </c>
      <c r="BF3" s="204">
        <f t="shared" si="1"/>
        <v>4042.401206537601</v>
      </c>
      <c r="BG3" s="204">
        <f t="shared" si="1"/>
        <v>4042.401206537601</v>
      </c>
      <c r="BH3" s="204">
        <f t="shared" si="1"/>
        <v>4042.401206537601</v>
      </c>
      <c r="BI3" s="204">
        <f t="shared" si="1"/>
        <v>4042.401206537601</v>
      </c>
      <c r="BJ3" s="204">
        <f t="shared" si="1"/>
        <v>4042.401206537601</v>
      </c>
      <c r="BK3" s="204">
        <f t="shared" si="1"/>
        <v>4042.401206537601</v>
      </c>
      <c r="BL3" s="204">
        <f t="shared" si="1"/>
        <v>4042.401206537601</v>
      </c>
      <c r="BM3" s="204">
        <f t="shared" si="1"/>
        <v>4042.401206537601</v>
      </c>
      <c r="BN3" s="204">
        <f t="shared" si="1"/>
        <v>4042.401206537601</v>
      </c>
      <c r="BO3" s="204">
        <f t="shared" si="1"/>
        <v>4042.401206537601</v>
      </c>
      <c r="BP3" s="204">
        <f t="shared" si="1"/>
        <v>4042.401206537601</v>
      </c>
      <c r="BQ3" s="204">
        <f t="shared" si="1"/>
        <v>4042.401206537601</v>
      </c>
      <c r="BR3" s="204">
        <f t="shared" si="1"/>
        <v>4042.401206537601</v>
      </c>
      <c r="BS3" s="204">
        <f t="shared" si="1"/>
        <v>4042.401206537601</v>
      </c>
      <c r="BT3" s="204">
        <f t="shared" si="1"/>
        <v>4042.401206537601</v>
      </c>
      <c r="BU3" s="204">
        <f t="shared" si="1"/>
        <v>4042.401206537601</v>
      </c>
      <c r="BV3" s="204">
        <f t="shared" si="1"/>
        <v>4042.401206537601</v>
      </c>
      <c r="BW3" s="204">
        <f t="shared" si="1"/>
        <v>4042.401206537601</v>
      </c>
      <c r="BX3" s="204">
        <f t="shared" si="1"/>
        <v>4042.401206537601</v>
      </c>
      <c r="BY3" s="204">
        <f t="shared" si="1"/>
        <v>4042.401206537601</v>
      </c>
      <c r="BZ3" s="204">
        <f t="shared" si="1"/>
        <v>4042.401206537601</v>
      </c>
      <c r="CA3" s="204">
        <f t="shared" ref="CA3:CR15" si="2">IF(CA$2&lt;=($B$2+$C$2+$D$2),IF(CA$2&lt;=($B$2+$C$2),IF(CA$2&lt;=$B$2,$B3,$C3),$D3),$E3)</f>
        <v>4042.401206537601</v>
      </c>
      <c r="CB3" s="204">
        <f t="shared" si="2"/>
        <v>4042.401206537601</v>
      </c>
      <c r="CC3" s="204">
        <f t="shared" si="2"/>
        <v>3726.3812702696764</v>
      </c>
      <c r="CD3" s="204">
        <f t="shared" si="2"/>
        <v>3726.3812702696764</v>
      </c>
      <c r="CE3" s="204">
        <f t="shared" si="2"/>
        <v>3726.3812702696764</v>
      </c>
      <c r="CF3" s="204">
        <f t="shared" si="2"/>
        <v>3726.3812702696764</v>
      </c>
      <c r="CG3" s="204">
        <f t="shared" si="2"/>
        <v>3726.3812702696764</v>
      </c>
      <c r="CH3" s="204">
        <f t="shared" si="2"/>
        <v>3726.3812702696764</v>
      </c>
      <c r="CI3" s="204">
        <f t="shared" si="2"/>
        <v>3726.3812702696764</v>
      </c>
      <c r="CJ3" s="204">
        <f t="shared" si="2"/>
        <v>3726.3812702696764</v>
      </c>
      <c r="CK3" s="204">
        <f t="shared" si="2"/>
        <v>3726.3812702696764</v>
      </c>
      <c r="CL3" s="204">
        <f t="shared" si="2"/>
        <v>3726.3812702696764</v>
      </c>
      <c r="CM3" s="204">
        <f t="shared" si="2"/>
        <v>3726.3812702696764</v>
      </c>
      <c r="CN3" s="204">
        <f t="shared" si="2"/>
        <v>3726.3812702696764</v>
      </c>
      <c r="CO3" s="204">
        <f t="shared" si="2"/>
        <v>3726.3812702696764</v>
      </c>
      <c r="CP3" s="204">
        <f t="shared" si="2"/>
        <v>3726.3812702696764</v>
      </c>
      <c r="CQ3" s="204">
        <f t="shared" si="2"/>
        <v>3726.3812702696764</v>
      </c>
      <c r="CR3" s="204">
        <f t="shared" si="2"/>
        <v>2609.8430257697223</v>
      </c>
      <c r="CS3" s="204">
        <f t="shared" ref="CS3:DA15" si="3">IF(CS$2&lt;=($B$2+$C$2+$D$2),IF(CS$2&lt;=($B$2+$C$2),IF(CS$2&lt;=$B$2,$B3,$C3),$D3),$E3)</f>
        <v>2609.8430257697223</v>
      </c>
      <c r="CT3" s="204">
        <f t="shared" si="3"/>
        <v>2609.8430257697223</v>
      </c>
      <c r="CU3" s="204">
        <f t="shared" si="3"/>
        <v>2609.8430257697223</v>
      </c>
      <c r="CV3" s="204">
        <f t="shared" si="3"/>
        <v>2609.8430257697223</v>
      </c>
      <c r="CW3" s="204">
        <f t="shared" si="3"/>
        <v>2609.8430257697223</v>
      </c>
      <c r="CX3" s="204">
        <f t="shared" si="3"/>
        <v>2609.8430257697223</v>
      </c>
      <c r="CY3" s="204">
        <f t="shared" si="3"/>
        <v>2609.8430257697223</v>
      </c>
      <c r="CZ3" s="204">
        <f t="shared" si="3"/>
        <v>2609.8430257697223</v>
      </c>
      <c r="DA3" s="204">
        <f t="shared" si="3"/>
        <v>2609.8430257697223</v>
      </c>
      <c r="DB3" s="204"/>
    </row>
    <row r="4" spans="1:106">
      <c r="A4" s="201" t="str">
        <f>Income!A73</f>
        <v>Own crops sold</v>
      </c>
      <c r="B4" s="203">
        <f>Income!B73</f>
        <v>0</v>
      </c>
      <c r="C4" s="203">
        <f>Income!C73</f>
        <v>2481.4068502938544</v>
      </c>
      <c r="D4" s="203">
        <f>Income!D73</f>
        <v>37840.38673597858</v>
      </c>
      <c r="E4" s="203">
        <f>Income!E73</f>
        <v>14996.068386836114</v>
      </c>
      <c r="F4" s="204">
        <f t="shared" ref="F4:U17" si="4">IF(F$2&lt;=($B$2+$C$2+$D$2),IF(F$2&lt;=($B$2+$C$2),IF(F$2&lt;=$B$2,$B4,$C4),$D4),$E4)</f>
        <v>0</v>
      </c>
      <c r="G4" s="204">
        <f t="shared" si="0"/>
        <v>0</v>
      </c>
      <c r="H4" s="204">
        <f t="shared" si="0"/>
        <v>0</v>
      </c>
      <c r="I4" s="204">
        <f t="shared" si="0"/>
        <v>0</v>
      </c>
      <c r="J4" s="204">
        <f t="shared" si="0"/>
        <v>0</v>
      </c>
      <c r="K4" s="204">
        <f t="shared" si="0"/>
        <v>0</v>
      </c>
      <c r="L4" s="204">
        <f t="shared" si="0"/>
        <v>0</v>
      </c>
      <c r="M4" s="204">
        <f t="shared" si="0"/>
        <v>0</v>
      </c>
      <c r="N4" s="204">
        <f t="shared" si="0"/>
        <v>0</v>
      </c>
      <c r="O4" s="204">
        <f t="shared" si="0"/>
        <v>0</v>
      </c>
      <c r="P4" s="204">
        <f t="shared" si="0"/>
        <v>0</v>
      </c>
      <c r="Q4" s="204">
        <f t="shared" si="0"/>
        <v>0</v>
      </c>
      <c r="R4" s="204">
        <f t="shared" si="0"/>
        <v>0</v>
      </c>
      <c r="S4" s="204">
        <f t="shared" si="0"/>
        <v>0</v>
      </c>
      <c r="T4" s="204">
        <f t="shared" si="0"/>
        <v>0</v>
      </c>
      <c r="U4" s="204">
        <f t="shared" si="0"/>
        <v>0</v>
      </c>
      <c r="V4" s="204">
        <f t="shared" si="0"/>
        <v>0</v>
      </c>
      <c r="W4" s="204">
        <f t="shared" si="0"/>
        <v>0</v>
      </c>
      <c r="X4" s="204">
        <f t="shared" si="0"/>
        <v>0</v>
      </c>
      <c r="Y4" s="204">
        <f t="shared" si="0"/>
        <v>0</v>
      </c>
      <c r="Z4" s="204">
        <f t="shared" si="0"/>
        <v>0</v>
      </c>
      <c r="AA4" s="204">
        <f t="shared" si="0"/>
        <v>0</v>
      </c>
      <c r="AB4" s="204">
        <f t="shared" si="0"/>
        <v>0</v>
      </c>
      <c r="AC4" s="204">
        <f t="shared" si="0"/>
        <v>0</v>
      </c>
      <c r="AD4" s="204">
        <f t="shared" si="0"/>
        <v>0</v>
      </c>
      <c r="AE4" s="204">
        <f t="shared" si="0"/>
        <v>0</v>
      </c>
      <c r="AF4" s="204">
        <f t="shared" si="0"/>
        <v>0</v>
      </c>
      <c r="AG4" s="204">
        <f t="shared" si="0"/>
        <v>0</v>
      </c>
      <c r="AH4" s="204">
        <f t="shared" si="0"/>
        <v>0</v>
      </c>
      <c r="AI4" s="204">
        <f t="shared" si="0"/>
        <v>0</v>
      </c>
      <c r="AJ4" s="204">
        <f t="shared" si="0"/>
        <v>0</v>
      </c>
      <c r="AK4" s="204">
        <f t="shared" si="0"/>
        <v>0</v>
      </c>
      <c r="AL4" s="204">
        <f t="shared" si="0"/>
        <v>0</v>
      </c>
      <c r="AM4" s="204">
        <f t="shared" si="0"/>
        <v>0</v>
      </c>
      <c r="AN4" s="204">
        <f t="shared" si="0"/>
        <v>0</v>
      </c>
      <c r="AO4" s="204">
        <f t="shared" si="0"/>
        <v>0</v>
      </c>
      <c r="AP4" s="204">
        <f t="shared" si="0"/>
        <v>0</v>
      </c>
      <c r="AQ4" s="204">
        <f t="shared" si="0"/>
        <v>0</v>
      </c>
      <c r="AR4" s="204">
        <f t="shared" si="0"/>
        <v>0</v>
      </c>
      <c r="AS4" s="204">
        <f t="shared" si="0"/>
        <v>0</v>
      </c>
      <c r="AT4" s="204">
        <f t="shared" si="0"/>
        <v>0</v>
      </c>
      <c r="AU4" s="204">
        <f t="shared" si="0"/>
        <v>0</v>
      </c>
      <c r="AV4" s="204">
        <f t="shared" si="0"/>
        <v>0</v>
      </c>
      <c r="AW4" s="204">
        <f t="shared" si="0"/>
        <v>0</v>
      </c>
      <c r="AX4" s="204">
        <f t="shared" si="1"/>
        <v>0</v>
      </c>
      <c r="AY4" s="204">
        <f t="shared" si="1"/>
        <v>0</v>
      </c>
      <c r="AZ4" s="204">
        <f t="shared" si="1"/>
        <v>0</v>
      </c>
      <c r="BA4" s="204">
        <f t="shared" si="1"/>
        <v>0</v>
      </c>
      <c r="BB4" s="204">
        <f t="shared" si="1"/>
        <v>0</v>
      </c>
      <c r="BC4" s="204">
        <f t="shared" si="1"/>
        <v>0</v>
      </c>
      <c r="BD4" s="204">
        <f t="shared" si="1"/>
        <v>2481.4068502938544</v>
      </c>
      <c r="BE4" s="204">
        <f t="shared" si="1"/>
        <v>2481.4068502938544</v>
      </c>
      <c r="BF4" s="204">
        <f t="shared" si="1"/>
        <v>2481.4068502938544</v>
      </c>
      <c r="BG4" s="204">
        <f t="shared" si="1"/>
        <v>2481.4068502938544</v>
      </c>
      <c r="BH4" s="204">
        <f t="shared" si="1"/>
        <v>2481.4068502938544</v>
      </c>
      <c r="BI4" s="204">
        <f t="shared" si="1"/>
        <v>2481.4068502938544</v>
      </c>
      <c r="BJ4" s="204">
        <f t="shared" si="1"/>
        <v>2481.4068502938544</v>
      </c>
      <c r="BK4" s="204">
        <f t="shared" si="1"/>
        <v>2481.4068502938544</v>
      </c>
      <c r="BL4" s="204">
        <f t="shared" si="1"/>
        <v>2481.4068502938544</v>
      </c>
      <c r="BM4" s="204">
        <f t="shared" si="1"/>
        <v>2481.4068502938544</v>
      </c>
      <c r="BN4" s="204">
        <f t="shared" si="1"/>
        <v>2481.4068502938544</v>
      </c>
      <c r="BO4" s="204">
        <f t="shared" si="1"/>
        <v>2481.4068502938544</v>
      </c>
      <c r="BP4" s="204">
        <f t="shared" si="1"/>
        <v>2481.4068502938544</v>
      </c>
      <c r="BQ4" s="204">
        <f t="shared" si="1"/>
        <v>2481.4068502938544</v>
      </c>
      <c r="BR4" s="204">
        <f t="shared" si="1"/>
        <v>2481.4068502938544</v>
      </c>
      <c r="BS4" s="204">
        <f t="shared" si="1"/>
        <v>2481.4068502938544</v>
      </c>
      <c r="BT4" s="204">
        <f t="shared" si="1"/>
        <v>2481.4068502938544</v>
      </c>
      <c r="BU4" s="204">
        <f t="shared" si="1"/>
        <v>2481.4068502938544</v>
      </c>
      <c r="BV4" s="204">
        <f t="shared" si="1"/>
        <v>2481.4068502938544</v>
      </c>
      <c r="BW4" s="204">
        <f t="shared" si="1"/>
        <v>2481.4068502938544</v>
      </c>
      <c r="BX4" s="204">
        <f t="shared" si="1"/>
        <v>2481.4068502938544</v>
      </c>
      <c r="BY4" s="204">
        <f t="shared" si="1"/>
        <v>2481.4068502938544</v>
      </c>
      <c r="BZ4" s="204">
        <f t="shared" si="1"/>
        <v>2481.4068502938544</v>
      </c>
      <c r="CA4" s="204">
        <f t="shared" si="2"/>
        <v>2481.4068502938544</v>
      </c>
      <c r="CB4" s="204">
        <f t="shared" si="2"/>
        <v>2481.4068502938544</v>
      </c>
      <c r="CC4" s="204">
        <f t="shared" si="2"/>
        <v>37840.38673597858</v>
      </c>
      <c r="CD4" s="204">
        <f t="shared" si="2"/>
        <v>37840.38673597858</v>
      </c>
      <c r="CE4" s="204">
        <f t="shared" si="2"/>
        <v>37840.38673597858</v>
      </c>
      <c r="CF4" s="204">
        <f t="shared" si="2"/>
        <v>37840.38673597858</v>
      </c>
      <c r="CG4" s="204">
        <f t="shared" si="2"/>
        <v>37840.38673597858</v>
      </c>
      <c r="CH4" s="204">
        <f t="shared" si="2"/>
        <v>37840.38673597858</v>
      </c>
      <c r="CI4" s="204">
        <f t="shared" si="2"/>
        <v>37840.38673597858</v>
      </c>
      <c r="CJ4" s="204">
        <f t="shared" si="2"/>
        <v>37840.38673597858</v>
      </c>
      <c r="CK4" s="204">
        <f t="shared" si="2"/>
        <v>37840.38673597858</v>
      </c>
      <c r="CL4" s="204">
        <f t="shared" si="2"/>
        <v>37840.38673597858</v>
      </c>
      <c r="CM4" s="204">
        <f t="shared" si="2"/>
        <v>37840.38673597858</v>
      </c>
      <c r="CN4" s="204">
        <f t="shared" si="2"/>
        <v>37840.38673597858</v>
      </c>
      <c r="CO4" s="204">
        <f t="shared" si="2"/>
        <v>37840.38673597858</v>
      </c>
      <c r="CP4" s="204">
        <f t="shared" si="2"/>
        <v>37840.38673597858</v>
      </c>
      <c r="CQ4" s="204">
        <f t="shared" si="2"/>
        <v>37840.38673597858</v>
      </c>
      <c r="CR4" s="204">
        <f t="shared" si="2"/>
        <v>14996.068386836114</v>
      </c>
      <c r="CS4" s="204">
        <f t="shared" si="3"/>
        <v>14996.068386836114</v>
      </c>
      <c r="CT4" s="204">
        <f t="shared" si="3"/>
        <v>14996.068386836114</v>
      </c>
      <c r="CU4" s="204">
        <f t="shared" si="3"/>
        <v>14996.068386836114</v>
      </c>
      <c r="CV4" s="204">
        <f t="shared" si="3"/>
        <v>14996.068386836114</v>
      </c>
      <c r="CW4" s="204">
        <f t="shared" si="3"/>
        <v>14996.068386836114</v>
      </c>
      <c r="CX4" s="204">
        <f t="shared" si="3"/>
        <v>14996.068386836114</v>
      </c>
      <c r="CY4" s="204">
        <f t="shared" si="3"/>
        <v>14996.068386836114</v>
      </c>
      <c r="CZ4" s="204">
        <f t="shared" si="3"/>
        <v>14996.068386836114</v>
      </c>
      <c r="DA4" s="204">
        <f t="shared" si="3"/>
        <v>14996.068386836114</v>
      </c>
      <c r="DB4" s="204"/>
    </row>
    <row r="5" spans="1:106">
      <c r="A5" s="201" t="str">
        <f>Income!A74</f>
        <v>Animal products consumed</v>
      </c>
      <c r="B5" s="203">
        <f>Income!B74</f>
        <v>178.16053949785783</v>
      </c>
      <c r="C5" s="203">
        <f>Income!C74</f>
        <v>852.70031370716697</v>
      </c>
      <c r="D5" s="203">
        <f>Income!D74</f>
        <v>2475.9718923349787</v>
      </c>
      <c r="E5" s="203">
        <f>Income!E74</f>
        <v>3037.7832928629437</v>
      </c>
      <c r="F5" s="204">
        <f t="shared" si="4"/>
        <v>178.16053949785783</v>
      </c>
      <c r="G5" s="204">
        <f t="shared" si="0"/>
        <v>178.16053949785783</v>
      </c>
      <c r="H5" s="204">
        <f t="shared" si="0"/>
        <v>178.16053949785783</v>
      </c>
      <c r="I5" s="204">
        <f t="shared" si="0"/>
        <v>178.16053949785783</v>
      </c>
      <c r="J5" s="204">
        <f t="shared" si="0"/>
        <v>178.16053949785783</v>
      </c>
      <c r="K5" s="204">
        <f t="shared" si="0"/>
        <v>178.16053949785783</v>
      </c>
      <c r="L5" s="204">
        <f t="shared" si="0"/>
        <v>178.16053949785783</v>
      </c>
      <c r="M5" s="204">
        <f t="shared" si="0"/>
        <v>178.16053949785783</v>
      </c>
      <c r="N5" s="204">
        <f t="shared" si="0"/>
        <v>178.16053949785783</v>
      </c>
      <c r="O5" s="204">
        <f t="shared" si="0"/>
        <v>178.16053949785783</v>
      </c>
      <c r="P5" s="204">
        <f t="shared" si="0"/>
        <v>178.16053949785783</v>
      </c>
      <c r="Q5" s="204">
        <f t="shared" si="0"/>
        <v>178.16053949785783</v>
      </c>
      <c r="R5" s="204">
        <f t="shared" si="0"/>
        <v>178.16053949785783</v>
      </c>
      <c r="S5" s="204">
        <f t="shared" si="0"/>
        <v>178.16053949785783</v>
      </c>
      <c r="T5" s="204">
        <f t="shared" si="0"/>
        <v>178.16053949785783</v>
      </c>
      <c r="U5" s="204">
        <f t="shared" si="0"/>
        <v>178.16053949785783</v>
      </c>
      <c r="V5" s="204">
        <f t="shared" si="0"/>
        <v>178.16053949785783</v>
      </c>
      <c r="W5" s="204">
        <f t="shared" si="0"/>
        <v>178.16053949785783</v>
      </c>
      <c r="X5" s="204">
        <f t="shared" si="0"/>
        <v>178.16053949785783</v>
      </c>
      <c r="Y5" s="204">
        <f t="shared" si="0"/>
        <v>178.16053949785783</v>
      </c>
      <c r="Z5" s="204">
        <f t="shared" si="0"/>
        <v>178.16053949785783</v>
      </c>
      <c r="AA5" s="204">
        <f t="shared" si="0"/>
        <v>178.16053949785783</v>
      </c>
      <c r="AB5" s="204">
        <f t="shared" si="0"/>
        <v>178.16053949785783</v>
      </c>
      <c r="AC5" s="204">
        <f t="shared" si="0"/>
        <v>178.16053949785783</v>
      </c>
      <c r="AD5" s="204">
        <f t="shared" si="0"/>
        <v>178.16053949785783</v>
      </c>
      <c r="AE5" s="204">
        <f t="shared" si="0"/>
        <v>178.16053949785783</v>
      </c>
      <c r="AF5" s="204">
        <f t="shared" si="0"/>
        <v>178.16053949785783</v>
      </c>
      <c r="AG5" s="204">
        <f t="shared" si="0"/>
        <v>178.16053949785783</v>
      </c>
      <c r="AH5" s="204">
        <f t="shared" si="0"/>
        <v>178.16053949785783</v>
      </c>
      <c r="AI5" s="204">
        <f t="shared" si="0"/>
        <v>178.16053949785783</v>
      </c>
      <c r="AJ5" s="204">
        <f t="shared" si="0"/>
        <v>178.16053949785783</v>
      </c>
      <c r="AK5" s="204">
        <f t="shared" si="0"/>
        <v>178.16053949785783</v>
      </c>
      <c r="AL5" s="204">
        <f t="shared" si="0"/>
        <v>178.16053949785783</v>
      </c>
      <c r="AM5" s="204">
        <f t="shared" si="0"/>
        <v>178.16053949785783</v>
      </c>
      <c r="AN5" s="204">
        <f t="shared" si="0"/>
        <v>178.16053949785783</v>
      </c>
      <c r="AO5" s="204">
        <f t="shared" si="0"/>
        <v>178.16053949785783</v>
      </c>
      <c r="AP5" s="204">
        <f t="shared" si="0"/>
        <v>178.16053949785783</v>
      </c>
      <c r="AQ5" s="204">
        <f t="shared" si="0"/>
        <v>178.16053949785783</v>
      </c>
      <c r="AR5" s="204">
        <f t="shared" si="0"/>
        <v>178.16053949785783</v>
      </c>
      <c r="AS5" s="204">
        <f t="shared" si="0"/>
        <v>178.16053949785783</v>
      </c>
      <c r="AT5" s="204">
        <f t="shared" si="0"/>
        <v>178.16053949785783</v>
      </c>
      <c r="AU5" s="204">
        <f t="shared" si="0"/>
        <v>178.16053949785783</v>
      </c>
      <c r="AV5" s="204">
        <f t="shared" si="0"/>
        <v>178.16053949785783</v>
      </c>
      <c r="AW5" s="204">
        <f t="shared" si="0"/>
        <v>178.16053949785783</v>
      </c>
      <c r="AX5" s="204">
        <f t="shared" si="1"/>
        <v>178.16053949785783</v>
      </c>
      <c r="AY5" s="204">
        <f t="shared" si="1"/>
        <v>178.16053949785783</v>
      </c>
      <c r="AZ5" s="204">
        <f t="shared" si="1"/>
        <v>178.16053949785783</v>
      </c>
      <c r="BA5" s="204">
        <f t="shared" si="1"/>
        <v>178.16053949785783</v>
      </c>
      <c r="BB5" s="204">
        <f t="shared" si="1"/>
        <v>178.16053949785783</v>
      </c>
      <c r="BC5" s="204">
        <f t="shared" si="1"/>
        <v>178.16053949785783</v>
      </c>
      <c r="BD5" s="204">
        <f t="shared" si="1"/>
        <v>852.70031370716697</v>
      </c>
      <c r="BE5" s="204">
        <f t="shared" si="1"/>
        <v>852.70031370716697</v>
      </c>
      <c r="BF5" s="204">
        <f t="shared" si="1"/>
        <v>852.70031370716697</v>
      </c>
      <c r="BG5" s="204">
        <f t="shared" si="1"/>
        <v>852.70031370716697</v>
      </c>
      <c r="BH5" s="204">
        <f t="shared" si="1"/>
        <v>852.70031370716697</v>
      </c>
      <c r="BI5" s="204">
        <f t="shared" si="1"/>
        <v>852.70031370716697</v>
      </c>
      <c r="BJ5" s="204">
        <f t="shared" si="1"/>
        <v>852.70031370716697</v>
      </c>
      <c r="BK5" s="204">
        <f t="shared" si="1"/>
        <v>852.70031370716697</v>
      </c>
      <c r="BL5" s="204">
        <f t="shared" si="1"/>
        <v>852.70031370716697</v>
      </c>
      <c r="BM5" s="204">
        <f t="shared" si="1"/>
        <v>852.70031370716697</v>
      </c>
      <c r="BN5" s="204">
        <f t="shared" si="1"/>
        <v>852.70031370716697</v>
      </c>
      <c r="BO5" s="204">
        <f t="shared" si="1"/>
        <v>852.70031370716697</v>
      </c>
      <c r="BP5" s="204">
        <f t="shared" si="1"/>
        <v>852.70031370716697</v>
      </c>
      <c r="BQ5" s="204">
        <f t="shared" si="1"/>
        <v>852.70031370716697</v>
      </c>
      <c r="BR5" s="204">
        <f t="shared" si="1"/>
        <v>852.70031370716697</v>
      </c>
      <c r="BS5" s="204">
        <f t="shared" si="1"/>
        <v>852.70031370716697</v>
      </c>
      <c r="BT5" s="204">
        <f t="shared" si="1"/>
        <v>852.70031370716697</v>
      </c>
      <c r="BU5" s="204">
        <f t="shared" si="1"/>
        <v>852.70031370716697</v>
      </c>
      <c r="BV5" s="204">
        <f t="shared" si="1"/>
        <v>852.70031370716697</v>
      </c>
      <c r="BW5" s="204">
        <f t="shared" si="1"/>
        <v>852.70031370716697</v>
      </c>
      <c r="BX5" s="204">
        <f t="shared" si="1"/>
        <v>852.70031370716697</v>
      </c>
      <c r="BY5" s="204">
        <f t="shared" si="1"/>
        <v>852.70031370716697</v>
      </c>
      <c r="BZ5" s="204">
        <f t="shared" si="1"/>
        <v>852.70031370716697</v>
      </c>
      <c r="CA5" s="204">
        <f t="shared" si="2"/>
        <v>852.70031370716697</v>
      </c>
      <c r="CB5" s="204">
        <f t="shared" si="2"/>
        <v>852.70031370716697</v>
      </c>
      <c r="CC5" s="204">
        <f t="shared" si="2"/>
        <v>2475.9718923349787</v>
      </c>
      <c r="CD5" s="204">
        <f t="shared" si="2"/>
        <v>2475.9718923349787</v>
      </c>
      <c r="CE5" s="204">
        <f t="shared" si="2"/>
        <v>2475.9718923349787</v>
      </c>
      <c r="CF5" s="204">
        <f t="shared" si="2"/>
        <v>2475.9718923349787</v>
      </c>
      <c r="CG5" s="204">
        <f t="shared" si="2"/>
        <v>2475.9718923349787</v>
      </c>
      <c r="CH5" s="204">
        <f t="shared" si="2"/>
        <v>2475.9718923349787</v>
      </c>
      <c r="CI5" s="204">
        <f t="shared" si="2"/>
        <v>2475.9718923349787</v>
      </c>
      <c r="CJ5" s="204">
        <f t="shared" si="2"/>
        <v>2475.9718923349787</v>
      </c>
      <c r="CK5" s="204">
        <f t="shared" si="2"/>
        <v>2475.9718923349787</v>
      </c>
      <c r="CL5" s="204">
        <f t="shared" si="2"/>
        <v>2475.9718923349787</v>
      </c>
      <c r="CM5" s="204">
        <f t="shared" si="2"/>
        <v>2475.9718923349787</v>
      </c>
      <c r="CN5" s="204">
        <f t="shared" si="2"/>
        <v>2475.9718923349787</v>
      </c>
      <c r="CO5" s="204">
        <f t="shared" si="2"/>
        <v>2475.9718923349787</v>
      </c>
      <c r="CP5" s="204">
        <f t="shared" si="2"/>
        <v>2475.9718923349787</v>
      </c>
      <c r="CQ5" s="204">
        <f t="shared" si="2"/>
        <v>2475.9718923349787</v>
      </c>
      <c r="CR5" s="204">
        <f t="shared" si="2"/>
        <v>3037.7832928629437</v>
      </c>
      <c r="CS5" s="204">
        <f t="shared" si="3"/>
        <v>3037.7832928629437</v>
      </c>
      <c r="CT5" s="204">
        <f t="shared" si="3"/>
        <v>3037.7832928629437</v>
      </c>
      <c r="CU5" s="204">
        <f t="shared" si="3"/>
        <v>3037.7832928629437</v>
      </c>
      <c r="CV5" s="204">
        <f t="shared" si="3"/>
        <v>3037.7832928629437</v>
      </c>
      <c r="CW5" s="204">
        <f t="shared" si="3"/>
        <v>3037.7832928629437</v>
      </c>
      <c r="CX5" s="204">
        <f t="shared" si="3"/>
        <v>3037.7832928629437</v>
      </c>
      <c r="CY5" s="204">
        <f t="shared" si="3"/>
        <v>3037.7832928629437</v>
      </c>
      <c r="CZ5" s="204">
        <f t="shared" si="3"/>
        <v>3037.7832928629437</v>
      </c>
      <c r="DA5" s="204">
        <f t="shared" si="3"/>
        <v>3037.7832928629437</v>
      </c>
      <c r="DB5" s="204"/>
    </row>
    <row r="6" spans="1:106">
      <c r="A6" s="201" t="str">
        <f>Income!A75</f>
        <v>Animal products sold</v>
      </c>
      <c r="B6" s="203">
        <f>Income!B75</f>
        <v>0</v>
      </c>
      <c r="C6" s="203">
        <f>Income!C75</f>
        <v>0</v>
      </c>
      <c r="D6" s="203">
        <f>Income!D75</f>
        <v>0</v>
      </c>
      <c r="E6" s="203">
        <f>Income!E75</f>
        <v>0</v>
      </c>
      <c r="F6" s="204">
        <f t="shared" si="4"/>
        <v>0</v>
      </c>
      <c r="G6" s="204">
        <f t="shared" si="0"/>
        <v>0</v>
      </c>
      <c r="H6" s="204">
        <f t="shared" si="0"/>
        <v>0</v>
      </c>
      <c r="I6" s="204">
        <f t="shared" si="0"/>
        <v>0</v>
      </c>
      <c r="J6" s="204">
        <f t="shared" si="0"/>
        <v>0</v>
      </c>
      <c r="K6" s="204">
        <f t="shared" si="0"/>
        <v>0</v>
      </c>
      <c r="L6" s="204">
        <f t="shared" si="0"/>
        <v>0</v>
      </c>
      <c r="M6" s="204">
        <f t="shared" si="0"/>
        <v>0</v>
      </c>
      <c r="N6" s="204">
        <f t="shared" si="0"/>
        <v>0</v>
      </c>
      <c r="O6" s="204">
        <f t="shared" si="0"/>
        <v>0</v>
      </c>
      <c r="P6" s="204">
        <f t="shared" si="0"/>
        <v>0</v>
      </c>
      <c r="Q6" s="204">
        <f t="shared" si="0"/>
        <v>0</v>
      </c>
      <c r="R6" s="204">
        <f t="shared" si="0"/>
        <v>0</v>
      </c>
      <c r="S6" s="204">
        <f t="shared" si="0"/>
        <v>0</v>
      </c>
      <c r="T6" s="204">
        <f t="shared" si="0"/>
        <v>0</v>
      </c>
      <c r="U6" s="204">
        <f t="shared" si="0"/>
        <v>0</v>
      </c>
      <c r="V6" s="204">
        <f t="shared" si="0"/>
        <v>0</v>
      </c>
      <c r="W6" s="204">
        <f t="shared" si="0"/>
        <v>0</v>
      </c>
      <c r="X6" s="204">
        <f t="shared" si="0"/>
        <v>0</v>
      </c>
      <c r="Y6" s="204">
        <f t="shared" si="0"/>
        <v>0</v>
      </c>
      <c r="Z6" s="204">
        <f t="shared" si="0"/>
        <v>0</v>
      </c>
      <c r="AA6" s="204">
        <f t="shared" si="0"/>
        <v>0</v>
      </c>
      <c r="AB6" s="204">
        <f t="shared" si="0"/>
        <v>0</v>
      </c>
      <c r="AC6" s="204">
        <f t="shared" si="0"/>
        <v>0</v>
      </c>
      <c r="AD6" s="204">
        <f t="shared" si="0"/>
        <v>0</v>
      </c>
      <c r="AE6" s="204">
        <f t="shared" si="0"/>
        <v>0</v>
      </c>
      <c r="AF6" s="204">
        <f t="shared" si="0"/>
        <v>0</v>
      </c>
      <c r="AG6" s="204">
        <f t="shared" si="0"/>
        <v>0</v>
      </c>
      <c r="AH6" s="204">
        <f t="shared" si="0"/>
        <v>0</v>
      </c>
      <c r="AI6" s="204">
        <f t="shared" si="0"/>
        <v>0</v>
      </c>
      <c r="AJ6" s="204">
        <f t="shared" si="0"/>
        <v>0</v>
      </c>
      <c r="AK6" s="204">
        <f t="shared" si="0"/>
        <v>0</v>
      </c>
      <c r="AL6" s="204">
        <f t="shared" si="0"/>
        <v>0</v>
      </c>
      <c r="AM6" s="204">
        <f t="shared" si="0"/>
        <v>0</v>
      </c>
      <c r="AN6" s="204">
        <f t="shared" si="0"/>
        <v>0</v>
      </c>
      <c r="AO6" s="204">
        <f t="shared" si="0"/>
        <v>0</v>
      </c>
      <c r="AP6" s="204">
        <f t="shared" si="0"/>
        <v>0</v>
      </c>
      <c r="AQ6" s="204">
        <f t="shared" si="0"/>
        <v>0</v>
      </c>
      <c r="AR6" s="204">
        <f t="shared" si="0"/>
        <v>0</v>
      </c>
      <c r="AS6" s="204">
        <f t="shared" si="0"/>
        <v>0</v>
      </c>
      <c r="AT6" s="204">
        <f t="shared" si="0"/>
        <v>0</v>
      </c>
      <c r="AU6" s="204">
        <f t="shared" si="0"/>
        <v>0</v>
      </c>
      <c r="AV6" s="204">
        <f t="shared" si="0"/>
        <v>0</v>
      </c>
      <c r="AW6" s="204">
        <f t="shared" si="0"/>
        <v>0</v>
      </c>
      <c r="AX6" s="204">
        <f t="shared" si="1"/>
        <v>0</v>
      </c>
      <c r="AY6" s="204">
        <f t="shared" si="1"/>
        <v>0</v>
      </c>
      <c r="AZ6" s="204">
        <f t="shared" si="1"/>
        <v>0</v>
      </c>
      <c r="BA6" s="204">
        <f t="shared" si="1"/>
        <v>0</v>
      </c>
      <c r="BB6" s="204">
        <f t="shared" si="1"/>
        <v>0</v>
      </c>
      <c r="BC6" s="204">
        <f t="shared" si="1"/>
        <v>0</v>
      </c>
      <c r="BD6" s="204">
        <f t="shared" si="1"/>
        <v>0</v>
      </c>
      <c r="BE6" s="204">
        <f t="shared" si="1"/>
        <v>0</v>
      </c>
      <c r="BF6" s="204">
        <f t="shared" si="1"/>
        <v>0</v>
      </c>
      <c r="BG6" s="204">
        <f t="shared" si="1"/>
        <v>0</v>
      </c>
      <c r="BH6" s="204">
        <f t="shared" si="1"/>
        <v>0</v>
      </c>
      <c r="BI6" s="204">
        <f t="shared" si="1"/>
        <v>0</v>
      </c>
      <c r="BJ6" s="204">
        <f t="shared" si="1"/>
        <v>0</v>
      </c>
      <c r="BK6" s="204">
        <f t="shared" si="1"/>
        <v>0</v>
      </c>
      <c r="BL6" s="204">
        <f t="shared" si="1"/>
        <v>0</v>
      </c>
      <c r="BM6" s="204">
        <f t="shared" si="1"/>
        <v>0</v>
      </c>
      <c r="BN6" s="204">
        <f t="shared" si="1"/>
        <v>0</v>
      </c>
      <c r="BO6" s="204">
        <f t="shared" si="1"/>
        <v>0</v>
      </c>
      <c r="BP6" s="204">
        <f t="shared" si="1"/>
        <v>0</v>
      </c>
      <c r="BQ6" s="204">
        <f t="shared" si="1"/>
        <v>0</v>
      </c>
      <c r="BR6" s="204">
        <f t="shared" si="1"/>
        <v>0</v>
      </c>
      <c r="BS6" s="204">
        <f t="shared" si="1"/>
        <v>0</v>
      </c>
      <c r="BT6" s="204">
        <f t="shared" si="1"/>
        <v>0</v>
      </c>
      <c r="BU6" s="204">
        <f t="shared" si="1"/>
        <v>0</v>
      </c>
      <c r="BV6" s="204">
        <f t="shared" si="1"/>
        <v>0</v>
      </c>
      <c r="BW6" s="204">
        <f t="shared" si="1"/>
        <v>0</v>
      </c>
      <c r="BX6" s="204">
        <f t="shared" si="1"/>
        <v>0</v>
      </c>
      <c r="BY6" s="204">
        <f t="shared" si="1"/>
        <v>0</v>
      </c>
      <c r="BZ6" s="204">
        <f t="shared" si="1"/>
        <v>0</v>
      </c>
      <c r="CA6" s="204">
        <f t="shared" si="2"/>
        <v>0</v>
      </c>
      <c r="CB6" s="204">
        <f t="shared" si="2"/>
        <v>0</v>
      </c>
      <c r="CC6" s="204">
        <f t="shared" si="2"/>
        <v>0</v>
      </c>
      <c r="CD6" s="204">
        <f t="shared" si="2"/>
        <v>0</v>
      </c>
      <c r="CE6" s="204">
        <f t="shared" si="2"/>
        <v>0</v>
      </c>
      <c r="CF6" s="204">
        <f t="shared" si="2"/>
        <v>0</v>
      </c>
      <c r="CG6" s="204">
        <f t="shared" si="2"/>
        <v>0</v>
      </c>
      <c r="CH6" s="204">
        <f t="shared" si="2"/>
        <v>0</v>
      </c>
      <c r="CI6" s="204">
        <f t="shared" si="2"/>
        <v>0</v>
      </c>
      <c r="CJ6" s="204">
        <f t="shared" si="2"/>
        <v>0</v>
      </c>
      <c r="CK6" s="204">
        <f t="shared" si="2"/>
        <v>0</v>
      </c>
      <c r="CL6" s="204">
        <f t="shared" si="2"/>
        <v>0</v>
      </c>
      <c r="CM6" s="204">
        <f t="shared" si="2"/>
        <v>0</v>
      </c>
      <c r="CN6" s="204">
        <f t="shared" si="2"/>
        <v>0</v>
      </c>
      <c r="CO6" s="204">
        <f t="shared" si="2"/>
        <v>0</v>
      </c>
      <c r="CP6" s="204">
        <f t="shared" si="2"/>
        <v>0</v>
      </c>
      <c r="CQ6" s="204">
        <f t="shared" si="2"/>
        <v>0</v>
      </c>
      <c r="CR6" s="204">
        <f t="shared" si="2"/>
        <v>0</v>
      </c>
      <c r="CS6" s="204">
        <f t="shared" si="3"/>
        <v>0</v>
      </c>
      <c r="CT6" s="204">
        <f t="shared" si="3"/>
        <v>0</v>
      </c>
      <c r="CU6" s="204">
        <f t="shared" si="3"/>
        <v>0</v>
      </c>
      <c r="CV6" s="204">
        <f t="shared" si="3"/>
        <v>0</v>
      </c>
      <c r="CW6" s="204">
        <f t="shared" si="3"/>
        <v>0</v>
      </c>
      <c r="CX6" s="204">
        <f t="shared" si="3"/>
        <v>0</v>
      </c>
      <c r="CY6" s="204">
        <f t="shared" si="3"/>
        <v>0</v>
      </c>
      <c r="CZ6" s="204">
        <f t="shared" si="3"/>
        <v>0</v>
      </c>
      <c r="DA6" s="204">
        <f t="shared" si="3"/>
        <v>0</v>
      </c>
      <c r="DB6" s="204"/>
    </row>
    <row r="7" spans="1:106">
      <c r="A7" s="201" t="str">
        <f>Income!A76</f>
        <v>Animals sold</v>
      </c>
      <c r="B7" s="203">
        <f>Income!B76</f>
        <v>1921.9158048747584</v>
      </c>
      <c r="C7" s="203">
        <f>Income!C76</f>
        <v>14574.528186966918</v>
      </c>
      <c r="D7" s="203">
        <f>Income!D76</f>
        <v>42538.403147894649</v>
      </c>
      <c r="E7" s="203">
        <f>Income!E76</f>
        <v>48955.466474170928</v>
      </c>
      <c r="F7" s="204">
        <f t="shared" si="4"/>
        <v>1921.9158048747584</v>
      </c>
      <c r="G7" s="204">
        <f t="shared" si="0"/>
        <v>1921.9158048747584</v>
      </c>
      <c r="H7" s="204">
        <f t="shared" si="0"/>
        <v>1921.9158048747584</v>
      </c>
      <c r="I7" s="204">
        <f t="shared" si="0"/>
        <v>1921.9158048747584</v>
      </c>
      <c r="J7" s="204">
        <f t="shared" si="0"/>
        <v>1921.9158048747584</v>
      </c>
      <c r="K7" s="204">
        <f t="shared" si="0"/>
        <v>1921.9158048747584</v>
      </c>
      <c r="L7" s="204">
        <f t="shared" si="0"/>
        <v>1921.9158048747584</v>
      </c>
      <c r="M7" s="204">
        <f t="shared" si="0"/>
        <v>1921.9158048747584</v>
      </c>
      <c r="N7" s="204">
        <f t="shared" si="0"/>
        <v>1921.9158048747584</v>
      </c>
      <c r="O7" s="204">
        <f t="shared" si="0"/>
        <v>1921.9158048747584</v>
      </c>
      <c r="P7" s="204">
        <f t="shared" si="0"/>
        <v>1921.9158048747584</v>
      </c>
      <c r="Q7" s="204">
        <f t="shared" si="0"/>
        <v>1921.9158048747584</v>
      </c>
      <c r="R7" s="204">
        <f t="shared" si="0"/>
        <v>1921.9158048747584</v>
      </c>
      <c r="S7" s="204">
        <f t="shared" si="0"/>
        <v>1921.9158048747584</v>
      </c>
      <c r="T7" s="204">
        <f t="shared" si="0"/>
        <v>1921.9158048747584</v>
      </c>
      <c r="U7" s="204">
        <f t="shared" si="0"/>
        <v>1921.9158048747584</v>
      </c>
      <c r="V7" s="204">
        <f t="shared" si="0"/>
        <v>1921.9158048747584</v>
      </c>
      <c r="W7" s="204">
        <f t="shared" si="0"/>
        <v>1921.9158048747584</v>
      </c>
      <c r="X7" s="204">
        <f t="shared" si="0"/>
        <v>1921.9158048747584</v>
      </c>
      <c r="Y7" s="204">
        <f t="shared" si="0"/>
        <v>1921.9158048747584</v>
      </c>
      <c r="Z7" s="204">
        <f t="shared" si="0"/>
        <v>1921.9158048747584</v>
      </c>
      <c r="AA7" s="204">
        <f t="shared" si="0"/>
        <v>1921.9158048747584</v>
      </c>
      <c r="AB7" s="204">
        <f t="shared" si="0"/>
        <v>1921.9158048747584</v>
      </c>
      <c r="AC7" s="204">
        <f t="shared" si="0"/>
        <v>1921.9158048747584</v>
      </c>
      <c r="AD7" s="204">
        <f t="shared" si="0"/>
        <v>1921.9158048747584</v>
      </c>
      <c r="AE7" s="204">
        <f t="shared" si="0"/>
        <v>1921.9158048747584</v>
      </c>
      <c r="AF7" s="204">
        <f t="shared" si="0"/>
        <v>1921.9158048747584</v>
      </c>
      <c r="AG7" s="204">
        <f t="shared" si="0"/>
        <v>1921.9158048747584</v>
      </c>
      <c r="AH7" s="204">
        <f t="shared" si="0"/>
        <v>1921.9158048747584</v>
      </c>
      <c r="AI7" s="204">
        <f t="shared" si="0"/>
        <v>1921.9158048747584</v>
      </c>
      <c r="AJ7" s="204">
        <f t="shared" si="0"/>
        <v>1921.9158048747584</v>
      </c>
      <c r="AK7" s="204">
        <f t="shared" si="0"/>
        <v>1921.9158048747584</v>
      </c>
      <c r="AL7" s="204">
        <f t="shared" si="0"/>
        <v>1921.9158048747584</v>
      </c>
      <c r="AM7" s="204">
        <f t="shared" si="0"/>
        <v>1921.9158048747584</v>
      </c>
      <c r="AN7" s="204">
        <f t="shared" si="0"/>
        <v>1921.9158048747584</v>
      </c>
      <c r="AO7" s="204">
        <f t="shared" si="0"/>
        <v>1921.9158048747584</v>
      </c>
      <c r="AP7" s="204">
        <f t="shared" si="0"/>
        <v>1921.9158048747584</v>
      </c>
      <c r="AQ7" s="204">
        <f t="shared" si="0"/>
        <v>1921.9158048747584</v>
      </c>
      <c r="AR7" s="204">
        <f t="shared" si="0"/>
        <v>1921.9158048747584</v>
      </c>
      <c r="AS7" s="204">
        <f t="shared" si="0"/>
        <v>1921.9158048747584</v>
      </c>
      <c r="AT7" s="204">
        <f t="shared" si="0"/>
        <v>1921.9158048747584</v>
      </c>
      <c r="AU7" s="204">
        <f t="shared" ref="AU7:BJ8" si="5">IF(AU$2&lt;=($B$2+$C$2+$D$2),IF(AU$2&lt;=($B$2+$C$2),IF(AU$2&lt;=$B$2,$B7,$C7),$D7),$E7)</f>
        <v>1921.9158048747584</v>
      </c>
      <c r="AV7" s="204">
        <f t="shared" si="5"/>
        <v>1921.9158048747584</v>
      </c>
      <c r="AW7" s="204">
        <f t="shared" si="5"/>
        <v>1921.9158048747584</v>
      </c>
      <c r="AX7" s="204">
        <f t="shared" si="5"/>
        <v>1921.9158048747584</v>
      </c>
      <c r="AY7" s="204">
        <f t="shared" si="5"/>
        <v>1921.9158048747584</v>
      </c>
      <c r="AZ7" s="204">
        <f t="shared" si="5"/>
        <v>1921.9158048747584</v>
      </c>
      <c r="BA7" s="204">
        <f t="shared" si="5"/>
        <v>1921.9158048747584</v>
      </c>
      <c r="BB7" s="204">
        <f t="shared" si="5"/>
        <v>1921.9158048747584</v>
      </c>
      <c r="BC7" s="204">
        <f t="shared" si="5"/>
        <v>1921.9158048747584</v>
      </c>
      <c r="BD7" s="204">
        <f t="shared" si="5"/>
        <v>14574.528186966918</v>
      </c>
      <c r="BE7" s="204">
        <f t="shared" si="5"/>
        <v>14574.528186966918</v>
      </c>
      <c r="BF7" s="204">
        <f t="shared" si="5"/>
        <v>14574.528186966918</v>
      </c>
      <c r="BG7" s="204">
        <f t="shared" si="5"/>
        <v>14574.528186966918</v>
      </c>
      <c r="BH7" s="204">
        <f t="shared" si="5"/>
        <v>14574.528186966918</v>
      </c>
      <c r="BI7" s="204">
        <f t="shared" si="5"/>
        <v>14574.528186966918</v>
      </c>
      <c r="BJ7" s="204">
        <f t="shared" si="5"/>
        <v>14574.528186966918</v>
      </c>
      <c r="BK7" s="204">
        <f t="shared" si="1"/>
        <v>14574.528186966918</v>
      </c>
      <c r="BL7" s="204">
        <f t="shared" si="1"/>
        <v>14574.528186966918</v>
      </c>
      <c r="BM7" s="204">
        <f t="shared" si="1"/>
        <v>14574.528186966918</v>
      </c>
      <c r="BN7" s="204">
        <f t="shared" si="1"/>
        <v>14574.528186966918</v>
      </c>
      <c r="BO7" s="204">
        <f t="shared" si="1"/>
        <v>14574.528186966918</v>
      </c>
      <c r="BP7" s="204">
        <f t="shared" si="1"/>
        <v>14574.528186966918</v>
      </c>
      <c r="BQ7" s="204">
        <f t="shared" si="1"/>
        <v>14574.528186966918</v>
      </c>
      <c r="BR7" s="204">
        <f t="shared" si="1"/>
        <v>14574.528186966918</v>
      </c>
      <c r="BS7" s="204">
        <f t="shared" si="1"/>
        <v>14574.528186966918</v>
      </c>
      <c r="BT7" s="204">
        <f t="shared" si="1"/>
        <v>14574.528186966918</v>
      </c>
      <c r="BU7" s="204">
        <f t="shared" si="1"/>
        <v>14574.528186966918</v>
      </c>
      <c r="BV7" s="204">
        <f t="shared" si="1"/>
        <v>14574.528186966918</v>
      </c>
      <c r="BW7" s="204">
        <f t="shared" si="1"/>
        <v>14574.528186966918</v>
      </c>
      <c r="BX7" s="204">
        <f t="shared" si="1"/>
        <v>14574.528186966918</v>
      </c>
      <c r="BY7" s="204">
        <f t="shared" si="1"/>
        <v>14574.528186966918</v>
      </c>
      <c r="BZ7" s="204">
        <f t="shared" si="1"/>
        <v>14574.528186966918</v>
      </c>
      <c r="CA7" s="204">
        <f t="shared" si="2"/>
        <v>14574.528186966918</v>
      </c>
      <c r="CB7" s="204">
        <f t="shared" si="2"/>
        <v>14574.528186966918</v>
      </c>
      <c r="CC7" s="204">
        <f t="shared" si="2"/>
        <v>42538.403147894649</v>
      </c>
      <c r="CD7" s="204">
        <f t="shared" si="2"/>
        <v>42538.403147894649</v>
      </c>
      <c r="CE7" s="204">
        <f t="shared" si="2"/>
        <v>42538.403147894649</v>
      </c>
      <c r="CF7" s="204">
        <f t="shared" si="2"/>
        <v>42538.403147894649</v>
      </c>
      <c r="CG7" s="204">
        <f t="shared" si="2"/>
        <v>42538.403147894649</v>
      </c>
      <c r="CH7" s="204">
        <f t="shared" si="2"/>
        <v>42538.403147894649</v>
      </c>
      <c r="CI7" s="204">
        <f t="shared" si="2"/>
        <v>42538.403147894649</v>
      </c>
      <c r="CJ7" s="204">
        <f t="shared" si="2"/>
        <v>42538.403147894649</v>
      </c>
      <c r="CK7" s="204">
        <f t="shared" si="2"/>
        <v>42538.403147894649</v>
      </c>
      <c r="CL7" s="204">
        <f t="shared" si="2"/>
        <v>42538.403147894649</v>
      </c>
      <c r="CM7" s="204">
        <f t="shared" si="2"/>
        <v>42538.403147894649</v>
      </c>
      <c r="CN7" s="204">
        <f t="shared" si="2"/>
        <v>42538.403147894649</v>
      </c>
      <c r="CO7" s="204">
        <f t="shared" si="2"/>
        <v>42538.403147894649</v>
      </c>
      <c r="CP7" s="204">
        <f t="shared" si="2"/>
        <v>42538.403147894649</v>
      </c>
      <c r="CQ7" s="204">
        <f t="shared" si="2"/>
        <v>42538.403147894649</v>
      </c>
      <c r="CR7" s="204">
        <f t="shared" si="2"/>
        <v>48955.466474170928</v>
      </c>
      <c r="CS7" s="204">
        <f t="shared" si="3"/>
        <v>48955.466474170928</v>
      </c>
      <c r="CT7" s="204">
        <f t="shared" si="3"/>
        <v>48955.466474170928</v>
      </c>
      <c r="CU7" s="204">
        <f t="shared" si="3"/>
        <v>48955.466474170928</v>
      </c>
      <c r="CV7" s="204">
        <f t="shared" si="3"/>
        <v>48955.466474170928</v>
      </c>
      <c r="CW7" s="204">
        <f t="shared" si="3"/>
        <v>48955.466474170928</v>
      </c>
      <c r="CX7" s="204">
        <f t="shared" si="3"/>
        <v>48955.466474170928</v>
      </c>
      <c r="CY7" s="204">
        <f t="shared" si="3"/>
        <v>48955.466474170928</v>
      </c>
      <c r="CZ7" s="204">
        <f t="shared" si="3"/>
        <v>48955.466474170928</v>
      </c>
      <c r="DA7" s="204">
        <f t="shared" si="3"/>
        <v>48955.466474170928</v>
      </c>
      <c r="DB7" s="204"/>
    </row>
    <row r="8" spans="1:106">
      <c r="A8" s="201" t="str">
        <f>Income!A77</f>
        <v>Wild foods consumed and sold</v>
      </c>
      <c r="B8" s="203">
        <f>Income!B77</f>
        <v>0</v>
      </c>
      <c r="C8" s="203">
        <f>Income!C77</f>
        <v>0</v>
      </c>
      <c r="D8" s="203">
        <f>Income!D77</f>
        <v>0</v>
      </c>
      <c r="E8" s="203">
        <f>Income!E77</f>
        <v>0</v>
      </c>
      <c r="F8" s="204">
        <f t="shared" si="4"/>
        <v>0</v>
      </c>
      <c r="G8" s="204">
        <f t="shared" si="4"/>
        <v>0</v>
      </c>
      <c r="H8" s="204">
        <f t="shared" si="4"/>
        <v>0</v>
      </c>
      <c r="I8" s="204">
        <f t="shared" si="4"/>
        <v>0</v>
      </c>
      <c r="J8" s="204">
        <f t="shared" si="4"/>
        <v>0</v>
      </c>
      <c r="K8" s="204">
        <f t="shared" si="4"/>
        <v>0</v>
      </c>
      <c r="L8" s="204">
        <f t="shared" si="4"/>
        <v>0</v>
      </c>
      <c r="M8" s="204">
        <f t="shared" si="4"/>
        <v>0</v>
      </c>
      <c r="N8" s="204">
        <f t="shared" si="4"/>
        <v>0</v>
      </c>
      <c r="O8" s="204">
        <f t="shared" si="4"/>
        <v>0</v>
      </c>
      <c r="P8" s="204">
        <f t="shared" si="4"/>
        <v>0</v>
      </c>
      <c r="Q8" s="204">
        <f t="shared" si="4"/>
        <v>0</v>
      </c>
      <c r="R8" s="204">
        <f t="shared" si="4"/>
        <v>0</v>
      </c>
      <c r="S8" s="204">
        <f t="shared" si="4"/>
        <v>0</v>
      </c>
      <c r="T8" s="204">
        <f t="shared" si="4"/>
        <v>0</v>
      </c>
      <c r="U8" s="204">
        <f t="shared" si="4"/>
        <v>0</v>
      </c>
      <c r="V8" s="204">
        <f t="shared" ref="V8:AK18" si="6">IF(V$2&lt;=($B$2+$C$2+$D$2),IF(V$2&lt;=($B$2+$C$2),IF(V$2&lt;=$B$2,$B8,$C8),$D8),$E8)</f>
        <v>0</v>
      </c>
      <c r="W8" s="204">
        <f t="shared" si="6"/>
        <v>0</v>
      </c>
      <c r="X8" s="204">
        <f t="shared" si="6"/>
        <v>0</v>
      </c>
      <c r="Y8" s="204">
        <f t="shared" si="6"/>
        <v>0</v>
      </c>
      <c r="Z8" s="204">
        <f t="shared" si="6"/>
        <v>0</v>
      </c>
      <c r="AA8" s="204">
        <f t="shared" si="6"/>
        <v>0</v>
      </c>
      <c r="AB8" s="204">
        <f t="shared" si="6"/>
        <v>0</v>
      </c>
      <c r="AC8" s="204">
        <f t="shared" si="6"/>
        <v>0</v>
      </c>
      <c r="AD8" s="204">
        <f t="shared" si="6"/>
        <v>0</v>
      </c>
      <c r="AE8" s="204">
        <f t="shared" si="6"/>
        <v>0</v>
      </c>
      <c r="AF8" s="204">
        <f t="shared" si="6"/>
        <v>0</v>
      </c>
      <c r="AG8" s="204">
        <f t="shared" si="6"/>
        <v>0</v>
      </c>
      <c r="AH8" s="204">
        <f t="shared" si="6"/>
        <v>0</v>
      </c>
      <c r="AI8" s="204">
        <f t="shared" si="6"/>
        <v>0</v>
      </c>
      <c r="AJ8" s="204">
        <f t="shared" si="6"/>
        <v>0</v>
      </c>
      <c r="AK8" s="204">
        <f t="shared" si="6"/>
        <v>0</v>
      </c>
      <c r="AL8" s="204">
        <f t="shared" ref="AL8:BA18" si="7">IF(AL$2&lt;=($B$2+$C$2+$D$2),IF(AL$2&lt;=($B$2+$C$2),IF(AL$2&lt;=$B$2,$B8,$C8),$D8),$E8)</f>
        <v>0</v>
      </c>
      <c r="AM8" s="204">
        <f t="shared" si="7"/>
        <v>0</v>
      </c>
      <c r="AN8" s="204">
        <f t="shared" si="7"/>
        <v>0</v>
      </c>
      <c r="AO8" s="204">
        <f t="shared" si="7"/>
        <v>0</v>
      </c>
      <c r="AP8" s="204">
        <f t="shared" si="7"/>
        <v>0</v>
      </c>
      <c r="AQ8" s="204">
        <f t="shared" si="7"/>
        <v>0</v>
      </c>
      <c r="AR8" s="204">
        <f t="shared" si="7"/>
        <v>0</v>
      </c>
      <c r="AS8" s="204">
        <f t="shared" si="7"/>
        <v>0</v>
      </c>
      <c r="AT8" s="204">
        <f t="shared" si="7"/>
        <v>0</v>
      </c>
      <c r="AU8" s="204">
        <f t="shared" si="7"/>
        <v>0</v>
      </c>
      <c r="AV8" s="204">
        <f t="shared" si="7"/>
        <v>0</v>
      </c>
      <c r="AW8" s="204">
        <f t="shared" si="7"/>
        <v>0</v>
      </c>
      <c r="AX8" s="204">
        <f t="shared" si="7"/>
        <v>0</v>
      </c>
      <c r="AY8" s="204">
        <f t="shared" si="7"/>
        <v>0</v>
      </c>
      <c r="AZ8" s="204">
        <f t="shared" si="7"/>
        <v>0</v>
      </c>
      <c r="BA8" s="204">
        <f t="shared" si="7"/>
        <v>0</v>
      </c>
      <c r="BB8" s="204">
        <f t="shared" si="5"/>
        <v>0</v>
      </c>
      <c r="BC8" s="204">
        <f t="shared" si="5"/>
        <v>0</v>
      </c>
      <c r="BD8" s="204">
        <f t="shared" si="5"/>
        <v>0</v>
      </c>
      <c r="BE8" s="204">
        <f t="shared" si="5"/>
        <v>0</v>
      </c>
      <c r="BF8" s="204">
        <f t="shared" si="5"/>
        <v>0</v>
      </c>
      <c r="BG8" s="204">
        <f t="shared" si="5"/>
        <v>0</v>
      </c>
      <c r="BH8" s="204">
        <f t="shared" si="5"/>
        <v>0</v>
      </c>
      <c r="BI8" s="204">
        <f t="shared" si="5"/>
        <v>0</v>
      </c>
      <c r="BJ8" s="204">
        <f t="shared" si="5"/>
        <v>0</v>
      </c>
      <c r="BK8" s="204">
        <f t="shared" si="1"/>
        <v>0</v>
      </c>
      <c r="BL8" s="204">
        <f t="shared" si="1"/>
        <v>0</v>
      </c>
      <c r="BM8" s="204">
        <f t="shared" si="1"/>
        <v>0</v>
      </c>
      <c r="BN8" s="204">
        <f t="shared" si="1"/>
        <v>0</v>
      </c>
      <c r="BO8" s="204">
        <f t="shared" si="1"/>
        <v>0</v>
      </c>
      <c r="BP8" s="204">
        <f t="shared" si="1"/>
        <v>0</v>
      </c>
      <c r="BQ8" s="204">
        <f t="shared" si="1"/>
        <v>0</v>
      </c>
      <c r="BR8" s="204">
        <f t="shared" si="1"/>
        <v>0</v>
      </c>
      <c r="BS8" s="204">
        <f t="shared" si="1"/>
        <v>0</v>
      </c>
      <c r="BT8" s="204">
        <f t="shared" si="1"/>
        <v>0</v>
      </c>
      <c r="BU8" s="204">
        <f t="shared" si="1"/>
        <v>0</v>
      </c>
      <c r="BV8" s="204">
        <f t="shared" si="1"/>
        <v>0</v>
      </c>
      <c r="BW8" s="204">
        <f t="shared" si="1"/>
        <v>0</v>
      </c>
      <c r="BX8" s="204">
        <f t="shared" si="1"/>
        <v>0</v>
      </c>
      <c r="BY8" s="204">
        <f t="shared" si="1"/>
        <v>0</v>
      </c>
      <c r="BZ8" s="204">
        <f t="shared" si="1"/>
        <v>0</v>
      </c>
      <c r="CA8" s="204">
        <f t="shared" si="2"/>
        <v>0</v>
      </c>
      <c r="CB8" s="204">
        <f t="shared" si="2"/>
        <v>0</v>
      </c>
      <c r="CC8" s="204">
        <f t="shared" si="2"/>
        <v>0</v>
      </c>
      <c r="CD8" s="204">
        <f t="shared" si="2"/>
        <v>0</v>
      </c>
      <c r="CE8" s="204">
        <f t="shared" si="2"/>
        <v>0</v>
      </c>
      <c r="CF8" s="204">
        <f t="shared" si="2"/>
        <v>0</v>
      </c>
      <c r="CG8" s="204">
        <f t="shared" si="2"/>
        <v>0</v>
      </c>
      <c r="CH8" s="204">
        <f t="shared" si="2"/>
        <v>0</v>
      </c>
      <c r="CI8" s="204">
        <f t="shared" si="2"/>
        <v>0</v>
      </c>
      <c r="CJ8" s="204">
        <f t="shared" si="2"/>
        <v>0</v>
      </c>
      <c r="CK8" s="204">
        <f t="shared" si="2"/>
        <v>0</v>
      </c>
      <c r="CL8" s="204">
        <f t="shared" si="2"/>
        <v>0</v>
      </c>
      <c r="CM8" s="204">
        <f t="shared" si="2"/>
        <v>0</v>
      </c>
      <c r="CN8" s="204">
        <f t="shared" si="2"/>
        <v>0</v>
      </c>
      <c r="CO8" s="204">
        <f t="shared" si="2"/>
        <v>0</v>
      </c>
      <c r="CP8" s="204">
        <f t="shared" si="2"/>
        <v>0</v>
      </c>
      <c r="CQ8" s="204">
        <f t="shared" si="2"/>
        <v>0</v>
      </c>
      <c r="CR8" s="204">
        <f t="shared" si="2"/>
        <v>0</v>
      </c>
      <c r="CS8" s="204">
        <f t="shared" si="3"/>
        <v>0</v>
      </c>
      <c r="CT8" s="204">
        <f t="shared" si="3"/>
        <v>0</v>
      </c>
      <c r="CU8" s="204">
        <f t="shared" si="3"/>
        <v>0</v>
      </c>
      <c r="CV8" s="204">
        <f t="shared" si="3"/>
        <v>0</v>
      </c>
      <c r="CW8" s="204">
        <f t="shared" si="3"/>
        <v>0</v>
      </c>
      <c r="CX8" s="204">
        <f t="shared" si="3"/>
        <v>0</v>
      </c>
      <c r="CY8" s="204">
        <f t="shared" si="3"/>
        <v>0</v>
      </c>
      <c r="CZ8" s="204">
        <f t="shared" si="3"/>
        <v>0</v>
      </c>
      <c r="DA8" s="204">
        <f t="shared" si="3"/>
        <v>0</v>
      </c>
      <c r="DB8" s="204"/>
    </row>
    <row r="9" spans="1:106">
      <c r="A9" s="201" t="str">
        <f>Income!A78</f>
        <v>Labour - casual</v>
      </c>
      <c r="B9" s="203">
        <f>Income!B78</f>
        <v>11104.402428165269</v>
      </c>
      <c r="C9" s="203">
        <f>Income!C78</f>
        <v>7414.3240828057342</v>
      </c>
      <c r="D9" s="203">
        <f>Income!D78</f>
        <v>32800.696403195871</v>
      </c>
      <c r="E9" s="203">
        <f>Income!E78</f>
        <v>0</v>
      </c>
      <c r="F9" s="204">
        <f t="shared" si="4"/>
        <v>11104.402428165269</v>
      </c>
      <c r="G9" s="204">
        <f t="shared" si="4"/>
        <v>11104.402428165269</v>
      </c>
      <c r="H9" s="204">
        <f t="shared" si="4"/>
        <v>11104.402428165269</v>
      </c>
      <c r="I9" s="204">
        <f t="shared" si="4"/>
        <v>11104.402428165269</v>
      </c>
      <c r="J9" s="204">
        <f t="shared" si="4"/>
        <v>11104.402428165269</v>
      </c>
      <c r="K9" s="204">
        <f t="shared" si="4"/>
        <v>11104.402428165269</v>
      </c>
      <c r="L9" s="204">
        <f t="shared" si="4"/>
        <v>11104.402428165269</v>
      </c>
      <c r="M9" s="204">
        <f t="shared" si="4"/>
        <v>11104.402428165269</v>
      </c>
      <c r="N9" s="204">
        <f t="shared" si="4"/>
        <v>11104.402428165269</v>
      </c>
      <c r="O9" s="204">
        <f t="shared" si="4"/>
        <v>11104.402428165269</v>
      </c>
      <c r="P9" s="204">
        <f t="shared" si="4"/>
        <v>11104.402428165269</v>
      </c>
      <c r="Q9" s="204">
        <f t="shared" si="4"/>
        <v>11104.402428165269</v>
      </c>
      <c r="R9" s="204">
        <f t="shared" si="4"/>
        <v>11104.402428165269</v>
      </c>
      <c r="S9" s="204">
        <f t="shared" si="4"/>
        <v>11104.402428165269</v>
      </c>
      <c r="T9" s="204">
        <f t="shared" si="4"/>
        <v>11104.402428165269</v>
      </c>
      <c r="U9" s="204">
        <f t="shared" si="4"/>
        <v>11104.402428165269</v>
      </c>
      <c r="V9" s="204">
        <f t="shared" si="6"/>
        <v>11104.402428165269</v>
      </c>
      <c r="W9" s="204">
        <f t="shared" si="6"/>
        <v>11104.402428165269</v>
      </c>
      <c r="X9" s="204">
        <f t="shared" si="6"/>
        <v>11104.402428165269</v>
      </c>
      <c r="Y9" s="204">
        <f t="shared" si="6"/>
        <v>11104.402428165269</v>
      </c>
      <c r="Z9" s="204">
        <f t="shared" si="6"/>
        <v>11104.402428165269</v>
      </c>
      <c r="AA9" s="204">
        <f t="shared" si="6"/>
        <v>11104.402428165269</v>
      </c>
      <c r="AB9" s="204">
        <f t="shared" si="6"/>
        <v>11104.402428165269</v>
      </c>
      <c r="AC9" s="204">
        <f t="shared" si="6"/>
        <v>11104.402428165269</v>
      </c>
      <c r="AD9" s="204">
        <f t="shared" si="6"/>
        <v>11104.402428165269</v>
      </c>
      <c r="AE9" s="204">
        <f t="shared" si="6"/>
        <v>11104.402428165269</v>
      </c>
      <c r="AF9" s="204">
        <f t="shared" si="6"/>
        <v>11104.402428165269</v>
      </c>
      <c r="AG9" s="204">
        <f t="shared" si="6"/>
        <v>11104.402428165269</v>
      </c>
      <c r="AH9" s="204">
        <f t="shared" si="6"/>
        <v>11104.402428165269</v>
      </c>
      <c r="AI9" s="204">
        <f t="shared" si="6"/>
        <v>11104.402428165269</v>
      </c>
      <c r="AJ9" s="204">
        <f t="shared" si="6"/>
        <v>11104.402428165269</v>
      </c>
      <c r="AK9" s="204">
        <f t="shared" si="6"/>
        <v>11104.402428165269</v>
      </c>
      <c r="AL9" s="204">
        <f t="shared" si="7"/>
        <v>11104.402428165269</v>
      </c>
      <c r="AM9" s="204">
        <f t="shared" si="7"/>
        <v>11104.402428165269</v>
      </c>
      <c r="AN9" s="204">
        <f t="shared" si="7"/>
        <v>11104.402428165269</v>
      </c>
      <c r="AO9" s="204">
        <f t="shared" si="7"/>
        <v>11104.402428165269</v>
      </c>
      <c r="AP9" s="204">
        <f t="shared" si="7"/>
        <v>11104.402428165269</v>
      </c>
      <c r="AQ9" s="204">
        <f t="shared" si="7"/>
        <v>11104.402428165269</v>
      </c>
      <c r="AR9" s="204">
        <f t="shared" si="7"/>
        <v>11104.402428165269</v>
      </c>
      <c r="AS9" s="204">
        <f t="shared" si="7"/>
        <v>11104.402428165269</v>
      </c>
      <c r="AT9" s="204">
        <f t="shared" si="7"/>
        <v>11104.402428165269</v>
      </c>
      <c r="AU9" s="204">
        <f t="shared" si="7"/>
        <v>11104.402428165269</v>
      </c>
      <c r="AV9" s="204">
        <f t="shared" si="7"/>
        <v>11104.402428165269</v>
      </c>
      <c r="AW9" s="204">
        <f t="shared" si="7"/>
        <v>11104.402428165269</v>
      </c>
      <c r="AX9" s="204">
        <f t="shared" si="1"/>
        <v>11104.402428165269</v>
      </c>
      <c r="AY9" s="204">
        <f t="shared" si="1"/>
        <v>11104.402428165269</v>
      </c>
      <c r="AZ9" s="204">
        <f t="shared" si="1"/>
        <v>11104.402428165269</v>
      </c>
      <c r="BA9" s="204">
        <f t="shared" si="1"/>
        <v>11104.402428165269</v>
      </c>
      <c r="BB9" s="204">
        <f t="shared" si="1"/>
        <v>11104.402428165269</v>
      </c>
      <c r="BC9" s="204">
        <f t="shared" si="1"/>
        <v>11104.402428165269</v>
      </c>
      <c r="BD9" s="204">
        <f t="shared" si="1"/>
        <v>7414.3240828057342</v>
      </c>
      <c r="BE9" s="204">
        <f t="shared" si="1"/>
        <v>7414.3240828057342</v>
      </c>
      <c r="BF9" s="204">
        <f t="shared" si="1"/>
        <v>7414.3240828057342</v>
      </c>
      <c r="BG9" s="204">
        <f t="shared" si="1"/>
        <v>7414.3240828057342</v>
      </c>
      <c r="BH9" s="204">
        <f t="shared" si="1"/>
        <v>7414.3240828057342</v>
      </c>
      <c r="BI9" s="204">
        <f t="shared" si="1"/>
        <v>7414.3240828057342</v>
      </c>
      <c r="BJ9" s="204">
        <f t="shared" si="1"/>
        <v>7414.3240828057342</v>
      </c>
      <c r="BK9" s="204">
        <f t="shared" si="1"/>
        <v>7414.3240828057342</v>
      </c>
      <c r="BL9" s="204">
        <f t="shared" si="1"/>
        <v>7414.3240828057342</v>
      </c>
      <c r="BM9" s="204">
        <f t="shared" si="1"/>
        <v>7414.3240828057342</v>
      </c>
      <c r="BN9" s="204">
        <f t="shared" si="1"/>
        <v>7414.3240828057342</v>
      </c>
      <c r="BO9" s="204">
        <f t="shared" si="1"/>
        <v>7414.3240828057342</v>
      </c>
      <c r="BP9" s="204">
        <f t="shared" si="1"/>
        <v>7414.3240828057342</v>
      </c>
      <c r="BQ9" s="204">
        <f t="shared" si="1"/>
        <v>7414.3240828057342</v>
      </c>
      <c r="BR9" s="204">
        <f t="shared" si="1"/>
        <v>7414.3240828057342</v>
      </c>
      <c r="BS9" s="204">
        <f t="shared" si="1"/>
        <v>7414.3240828057342</v>
      </c>
      <c r="BT9" s="204">
        <f t="shared" si="1"/>
        <v>7414.3240828057342</v>
      </c>
      <c r="BU9" s="204">
        <f t="shared" si="1"/>
        <v>7414.3240828057342</v>
      </c>
      <c r="BV9" s="204">
        <f t="shared" si="1"/>
        <v>7414.3240828057342</v>
      </c>
      <c r="BW9" s="204">
        <f t="shared" si="1"/>
        <v>7414.3240828057342</v>
      </c>
      <c r="BX9" s="204">
        <f t="shared" si="1"/>
        <v>7414.3240828057342</v>
      </c>
      <c r="BY9" s="204">
        <f t="shared" si="1"/>
        <v>7414.3240828057342</v>
      </c>
      <c r="BZ9" s="204">
        <f t="shared" si="1"/>
        <v>7414.3240828057342</v>
      </c>
      <c r="CA9" s="204">
        <f t="shared" si="2"/>
        <v>7414.3240828057342</v>
      </c>
      <c r="CB9" s="204">
        <f t="shared" si="2"/>
        <v>7414.3240828057342</v>
      </c>
      <c r="CC9" s="204">
        <f t="shared" si="2"/>
        <v>32800.696403195871</v>
      </c>
      <c r="CD9" s="204">
        <f t="shared" si="2"/>
        <v>32800.696403195871</v>
      </c>
      <c r="CE9" s="204">
        <f t="shared" si="2"/>
        <v>32800.696403195871</v>
      </c>
      <c r="CF9" s="204">
        <f t="shared" si="2"/>
        <v>32800.696403195871</v>
      </c>
      <c r="CG9" s="204">
        <f t="shared" si="2"/>
        <v>32800.696403195871</v>
      </c>
      <c r="CH9" s="204">
        <f t="shared" si="2"/>
        <v>32800.696403195871</v>
      </c>
      <c r="CI9" s="204">
        <f t="shared" si="2"/>
        <v>32800.696403195871</v>
      </c>
      <c r="CJ9" s="204">
        <f t="shared" si="2"/>
        <v>32800.696403195871</v>
      </c>
      <c r="CK9" s="204">
        <f t="shared" si="2"/>
        <v>32800.696403195871</v>
      </c>
      <c r="CL9" s="204">
        <f t="shared" si="2"/>
        <v>32800.696403195871</v>
      </c>
      <c r="CM9" s="204">
        <f t="shared" si="2"/>
        <v>32800.696403195871</v>
      </c>
      <c r="CN9" s="204">
        <f t="shared" si="2"/>
        <v>32800.696403195871</v>
      </c>
      <c r="CO9" s="204">
        <f t="shared" si="2"/>
        <v>32800.696403195871</v>
      </c>
      <c r="CP9" s="204">
        <f t="shared" si="2"/>
        <v>32800.696403195871</v>
      </c>
      <c r="CQ9" s="204">
        <f t="shared" si="2"/>
        <v>32800.696403195871</v>
      </c>
      <c r="CR9" s="204">
        <f t="shared" si="2"/>
        <v>0</v>
      </c>
      <c r="CS9" s="204">
        <f t="shared" si="3"/>
        <v>0</v>
      </c>
      <c r="CT9" s="204">
        <f t="shared" si="3"/>
        <v>0</v>
      </c>
      <c r="CU9" s="204">
        <f t="shared" si="3"/>
        <v>0</v>
      </c>
      <c r="CV9" s="204">
        <f t="shared" si="3"/>
        <v>0</v>
      </c>
      <c r="CW9" s="204">
        <f t="shared" si="3"/>
        <v>0</v>
      </c>
      <c r="CX9" s="204">
        <f t="shared" si="3"/>
        <v>0</v>
      </c>
      <c r="CY9" s="204">
        <f t="shared" si="3"/>
        <v>0</v>
      </c>
      <c r="CZ9" s="204">
        <f t="shared" si="3"/>
        <v>0</v>
      </c>
      <c r="DA9" s="204">
        <f t="shared" si="3"/>
        <v>0</v>
      </c>
      <c r="DB9" s="204"/>
    </row>
    <row r="10" spans="1:106">
      <c r="A10" s="201" t="str">
        <f>Income!A79</f>
        <v>Labour - formal emp</v>
      </c>
      <c r="B10" s="203">
        <f>Income!B79</f>
        <v>0</v>
      </c>
      <c r="C10" s="203">
        <f>Income!C79</f>
        <v>0</v>
      </c>
      <c r="D10" s="203">
        <f>Income!D79</f>
        <v>0</v>
      </c>
      <c r="E10" s="203">
        <f>Income!E79</f>
        <v>113008.64932663579</v>
      </c>
      <c r="F10" s="204">
        <f t="shared" si="4"/>
        <v>0</v>
      </c>
      <c r="G10" s="204">
        <f t="shared" si="4"/>
        <v>0</v>
      </c>
      <c r="H10" s="204">
        <f t="shared" si="4"/>
        <v>0</v>
      </c>
      <c r="I10" s="204">
        <f t="shared" si="4"/>
        <v>0</v>
      </c>
      <c r="J10" s="204">
        <f t="shared" si="4"/>
        <v>0</v>
      </c>
      <c r="K10" s="204">
        <f t="shared" si="4"/>
        <v>0</v>
      </c>
      <c r="L10" s="204">
        <f t="shared" si="4"/>
        <v>0</v>
      </c>
      <c r="M10" s="204">
        <f t="shared" si="4"/>
        <v>0</v>
      </c>
      <c r="N10" s="204">
        <f t="shared" si="4"/>
        <v>0</v>
      </c>
      <c r="O10" s="204">
        <f t="shared" si="4"/>
        <v>0</v>
      </c>
      <c r="P10" s="204">
        <f t="shared" si="4"/>
        <v>0</v>
      </c>
      <c r="Q10" s="204">
        <f t="shared" si="4"/>
        <v>0</v>
      </c>
      <c r="R10" s="204">
        <f t="shared" si="4"/>
        <v>0</v>
      </c>
      <c r="S10" s="204">
        <f t="shared" si="4"/>
        <v>0</v>
      </c>
      <c r="T10" s="204">
        <f t="shared" si="4"/>
        <v>0</v>
      </c>
      <c r="U10" s="204">
        <f t="shared" si="4"/>
        <v>0</v>
      </c>
      <c r="V10" s="204">
        <f t="shared" si="6"/>
        <v>0</v>
      </c>
      <c r="W10" s="204">
        <f t="shared" si="6"/>
        <v>0</v>
      </c>
      <c r="X10" s="204">
        <f t="shared" si="6"/>
        <v>0</v>
      </c>
      <c r="Y10" s="204">
        <f t="shared" si="6"/>
        <v>0</v>
      </c>
      <c r="Z10" s="204">
        <f t="shared" si="6"/>
        <v>0</v>
      </c>
      <c r="AA10" s="204">
        <f t="shared" si="6"/>
        <v>0</v>
      </c>
      <c r="AB10" s="204">
        <f t="shared" si="6"/>
        <v>0</v>
      </c>
      <c r="AC10" s="204">
        <f t="shared" si="6"/>
        <v>0</v>
      </c>
      <c r="AD10" s="204">
        <f t="shared" si="6"/>
        <v>0</v>
      </c>
      <c r="AE10" s="204">
        <f t="shared" si="6"/>
        <v>0</v>
      </c>
      <c r="AF10" s="204">
        <f t="shared" si="6"/>
        <v>0</v>
      </c>
      <c r="AG10" s="204">
        <f t="shared" si="6"/>
        <v>0</v>
      </c>
      <c r="AH10" s="204">
        <f t="shared" si="6"/>
        <v>0</v>
      </c>
      <c r="AI10" s="204">
        <f t="shared" si="6"/>
        <v>0</v>
      </c>
      <c r="AJ10" s="204">
        <f t="shared" si="6"/>
        <v>0</v>
      </c>
      <c r="AK10" s="204">
        <f t="shared" si="6"/>
        <v>0</v>
      </c>
      <c r="AL10" s="204">
        <f t="shared" si="7"/>
        <v>0</v>
      </c>
      <c r="AM10" s="204">
        <f t="shared" si="7"/>
        <v>0</v>
      </c>
      <c r="AN10" s="204">
        <f t="shared" si="7"/>
        <v>0</v>
      </c>
      <c r="AO10" s="204">
        <f t="shared" si="7"/>
        <v>0</v>
      </c>
      <c r="AP10" s="204">
        <f t="shared" si="7"/>
        <v>0</v>
      </c>
      <c r="AQ10" s="204">
        <f t="shared" si="7"/>
        <v>0</v>
      </c>
      <c r="AR10" s="204">
        <f t="shared" si="7"/>
        <v>0</v>
      </c>
      <c r="AS10" s="204">
        <f t="shared" si="7"/>
        <v>0</v>
      </c>
      <c r="AT10" s="204">
        <f t="shared" si="7"/>
        <v>0</v>
      </c>
      <c r="AU10" s="204">
        <f t="shared" si="7"/>
        <v>0</v>
      </c>
      <c r="AV10" s="204">
        <f t="shared" si="7"/>
        <v>0</v>
      </c>
      <c r="AW10" s="204">
        <f t="shared" si="7"/>
        <v>0</v>
      </c>
      <c r="AX10" s="204">
        <f t="shared" si="1"/>
        <v>0</v>
      </c>
      <c r="AY10" s="204">
        <f t="shared" si="1"/>
        <v>0</v>
      </c>
      <c r="AZ10" s="204">
        <f t="shared" si="1"/>
        <v>0</v>
      </c>
      <c r="BA10" s="204">
        <f t="shared" si="1"/>
        <v>0</v>
      </c>
      <c r="BB10" s="204">
        <f t="shared" si="1"/>
        <v>0</v>
      </c>
      <c r="BC10" s="204">
        <f t="shared" si="1"/>
        <v>0</v>
      </c>
      <c r="BD10" s="204">
        <f t="shared" si="1"/>
        <v>0</v>
      </c>
      <c r="BE10" s="204">
        <f t="shared" si="1"/>
        <v>0</v>
      </c>
      <c r="BF10" s="204">
        <f t="shared" si="1"/>
        <v>0</v>
      </c>
      <c r="BG10" s="204">
        <f t="shared" si="1"/>
        <v>0</v>
      </c>
      <c r="BH10" s="204">
        <f t="shared" si="1"/>
        <v>0</v>
      </c>
      <c r="BI10" s="204">
        <f t="shared" si="1"/>
        <v>0</v>
      </c>
      <c r="BJ10" s="204">
        <f t="shared" si="1"/>
        <v>0</v>
      </c>
      <c r="BK10" s="204">
        <f t="shared" si="1"/>
        <v>0</v>
      </c>
      <c r="BL10" s="204">
        <f t="shared" si="1"/>
        <v>0</v>
      </c>
      <c r="BM10" s="204">
        <f t="shared" si="1"/>
        <v>0</v>
      </c>
      <c r="BN10" s="204">
        <f t="shared" si="1"/>
        <v>0</v>
      </c>
      <c r="BO10" s="204">
        <f t="shared" si="1"/>
        <v>0</v>
      </c>
      <c r="BP10" s="204">
        <f t="shared" si="1"/>
        <v>0</v>
      </c>
      <c r="BQ10" s="204">
        <f t="shared" si="1"/>
        <v>0</v>
      </c>
      <c r="BR10" s="204">
        <f t="shared" ref="AX10:BZ18" si="8">IF(BR$2&lt;=($B$2+$C$2+$D$2),IF(BR$2&lt;=($B$2+$C$2),IF(BR$2&lt;=$B$2,$B10,$C10),$D10),$E10)</f>
        <v>0</v>
      </c>
      <c r="BS10" s="204">
        <f t="shared" si="8"/>
        <v>0</v>
      </c>
      <c r="BT10" s="204">
        <f t="shared" si="8"/>
        <v>0</v>
      </c>
      <c r="BU10" s="204">
        <f t="shared" si="8"/>
        <v>0</v>
      </c>
      <c r="BV10" s="204">
        <f t="shared" si="8"/>
        <v>0</v>
      </c>
      <c r="BW10" s="204">
        <f t="shared" si="8"/>
        <v>0</v>
      </c>
      <c r="BX10" s="204">
        <f t="shared" si="8"/>
        <v>0</v>
      </c>
      <c r="BY10" s="204">
        <f t="shared" si="8"/>
        <v>0</v>
      </c>
      <c r="BZ10" s="204">
        <f t="shared" si="8"/>
        <v>0</v>
      </c>
      <c r="CA10" s="204">
        <f t="shared" si="2"/>
        <v>0</v>
      </c>
      <c r="CB10" s="204">
        <f t="shared" si="2"/>
        <v>0</v>
      </c>
      <c r="CC10" s="204">
        <f t="shared" si="2"/>
        <v>0</v>
      </c>
      <c r="CD10" s="204">
        <f t="shared" si="2"/>
        <v>0</v>
      </c>
      <c r="CE10" s="204">
        <f t="shared" si="2"/>
        <v>0</v>
      </c>
      <c r="CF10" s="204">
        <f t="shared" si="2"/>
        <v>0</v>
      </c>
      <c r="CG10" s="204">
        <f t="shared" si="2"/>
        <v>0</v>
      </c>
      <c r="CH10" s="204">
        <f t="shared" si="2"/>
        <v>0</v>
      </c>
      <c r="CI10" s="204">
        <f t="shared" si="2"/>
        <v>0</v>
      </c>
      <c r="CJ10" s="204">
        <f t="shared" si="2"/>
        <v>0</v>
      </c>
      <c r="CK10" s="204">
        <f t="shared" si="2"/>
        <v>0</v>
      </c>
      <c r="CL10" s="204">
        <f t="shared" si="2"/>
        <v>0</v>
      </c>
      <c r="CM10" s="204">
        <f t="shared" si="2"/>
        <v>0</v>
      </c>
      <c r="CN10" s="204">
        <f t="shared" si="2"/>
        <v>0</v>
      </c>
      <c r="CO10" s="204">
        <f t="shared" si="2"/>
        <v>0</v>
      </c>
      <c r="CP10" s="204">
        <f t="shared" si="2"/>
        <v>0</v>
      </c>
      <c r="CQ10" s="204">
        <f t="shared" si="2"/>
        <v>0</v>
      </c>
      <c r="CR10" s="204">
        <f t="shared" si="2"/>
        <v>113008.64932663579</v>
      </c>
      <c r="CS10" s="204">
        <f t="shared" si="3"/>
        <v>113008.64932663579</v>
      </c>
      <c r="CT10" s="204">
        <f t="shared" si="3"/>
        <v>113008.64932663579</v>
      </c>
      <c r="CU10" s="204">
        <f t="shared" si="3"/>
        <v>113008.64932663579</v>
      </c>
      <c r="CV10" s="204">
        <f t="shared" si="3"/>
        <v>113008.64932663579</v>
      </c>
      <c r="CW10" s="204">
        <f t="shared" si="3"/>
        <v>113008.64932663579</v>
      </c>
      <c r="CX10" s="204">
        <f t="shared" si="3"/>
        <v>113008.64932663579</v>
      </c>
      <c r="CY10" s="204">
        <f t="shared" si="3"/>
        <v>113008.64932663579</v>
      </c>
      <c r="CZ10" s="204">
        <f t="shared" si="3"/>
        <v>113008.64932663579</v>
      </c>
      <c r="DA10" s="204">
        <f t="shared" si="3"/>
        <v>113008.64932663579</v>
      </c>
      <c r="DB10" s="204"/>
    </row>
    <row r="11" spans="1:106">
      <c r="A11" s="201" t="str">
        <f>Income!A81</f>
        <v>Self - employment</v>
      </c>
      <c r="B11" s="203">
        <f>Income!B81</f>
        <v>0</v>
      </c>
      <c r="C11" s="203">
        <f>Income!C81</f>
        <v>0</v>
      </c>
      <c r="D11" s="203">
        <f>Income!D81</f>
        <v>0</v>
      </c>
      <c r="E11" s="203">
        <f>Income!E81</f>
        <v>0</v>
      </c>
      <c r="F11" s="204">
        <f t="shared" si="4"/>
        <v>0</v>
      </c>
      <c r="G11" s="204">
        <f t="shared" si="4"/>
        <v>0</v>
      </c>
      <c r="H11" s="204">
        <f t="shared" si="4"/>
        <v>0</v>
      </c>
      <c r="I11" s="204">
        <f t="shared" si="4"/>
        <v>0</v>
      </c>
      <c r="J11" s="204">
        <f t="shared" si="4"/>
        <v>0</v>
      </c>
      <c r="K11" s="204">
        <f t="shared" si="4"/>
        <v>0</v>
      </c>
      <c r="L11" s="204">
        <f t="shared" si="4"/>
        <v>0</v>
      </c>
      <c r="M11" s="204">
        <f t="shared" si="4"/>
        <v>0</v>
      </c>
      <c r="N11" s="204">
        <f t="shared" si="4"/>
        <v>0</v>
      </c>
      <c r="O11" s="204">
        <f t="shared" si="4"/>
        <v>0</v>
      </c>
      <c r="P11" s="204">
        <f t="shared" si="4"/>
        <v>0</v>
      </c>
      <c r="Q11" s="204">
        <f t="shared" si="4"/>
        <v>0</v>
      </c>
      <c r="R11" s="204">
        <f t="shared" si="4"/>
        <v>0</v>
      </c>
      <c r="S11" s="204">
        <f t="shared" si="4"/>
        <v>0</v>
      </c>
      <c r="T11" s="204">
        <f t="shared" si="4"/>
        <v>0</v>
      </c>
      <c r="U11" s="204">
        <f t="shared" si="4"/>
        <v>0</v>
      </c>
      <c r="V11" s="204">
        <f t="shared" si="6"/>
        <v>0</v>
      </c>
      <c r="W11" s="204">
        <f t="shared" si="6"/>
        <v>0</v>
      </c>
      <c r="X11" s="204">
        <f t="shared" si="6"/>
        <v>0</v>
      </c>
      <c r="Y11" s="204">
        <f t="shared" si="6"/>
        <v>0</v>
      </c>
      <c r="Z11" s="204">
        <f t="shared" si="6"/>
        <v>0</v>
      </c>
      <c r="AA11" s="204">
        <f t="shared" si="6"/>
        <v>0</v>
      </c>
      <c r="AB11" s="204">
        <f t="shared" si="6"/>
        <v>0</v>
      </c>
      <c r="AC11" s="204">
        <f t="shared" si="6"/>
        <v>0</v>
      </c>
      <c r="AD11" s="204">
        <f t="shared" si="6"/>
        <v>0</v>
      </c>
      <c r="AE11" s="204">
        <f t="shared" si="6"/>
        <v>0</v>
      </c>
      <c r="AF11" s="204">
        <f t="shared" si="6"/>
        <v>0</v>
      </c>
      <c r="AG11" s="204">
        <f t="shared" si="6"/>
        <v>0</v>
      </c>
      <c r="AH11" s="204">
        <f t="shared" si="6"/>
        <v>0</v>
      </c>
      <c r="AI11" s="204">
        <f t="shared" si="6"/>
        <v>0</v>
      </c>
      <c r="AJ11" s="204">
        <f t="shared" si="6"/>
        <v>0</v>
      </c>
      <c r="AK11" s="204">
        <f t="shared" si="6"/>
        <v>0</v>
      </c>
      <c r="AL11" s="204">
        <f t="shared" si="7"/>
        <v>0</v>
      </c>
      <c r="AM11" s="204">
        <f t="shared" si="7"/>
        <v>0</v>
      </c>
      <c r="AN11" s="204">
        <f t="shared" si="7"/>
        <v>0</v>
      </c>
      <c r="AO11" s="204">
        <f t="shared" si="7"/>
        <v>0</v>
      </c>
      <c r="AP11" s="204">
        <f t="shared" si="7"/>
        <v>0</v>
      </c>
      <c r="AQ11" s="204">
        <f t="shared" si="7"/>
        <v>0</v>
      </c>
      <c r="AR11" s="204">
        <f t="shared" si="7"/>
        <v>0</v>
      </c>
      <c r="AS11" s="204">
        <f t="shared" si="7"/>
        <v>0</v>
      </c>
      <c r="AT11" s="204">
        <f t="shared" si="7"/>
        <v>0</v>
      </c>
      <c r="AU11" s="204">
        <f t="shared" si="7"/>
        <v>0</v>
      </c>
      <c r="AV11" s="204">
        <f t="shared" si="7"/>
        <v>0</v>
      </c>
      <c r="AW11" s="204">
        <f t="shared" si="7"/>
        <v>0</v>
      </c>
      <c r="AX11" s="204">
        <f t="shared" si="8"/>
        <v>0</v>
      </c>
      <c r="AY11" s="204">
        <f t="shared" si="8"/>
        <v>0</v>
      </c>
      <c r="AZ11" s="204">
        <f t="shared" si="8"/>
        <v>0</v>
      </c>
      <c r="BA11" s="204">
        <f t="shared" si="8"/>
        <v>0</v>
      </c>
      <c r="BB11" s="204">
        <f t="shared" si="8"/>
        <v>0</v>
      </c>
      <c r="BC11" s="204">
        <f t="shared" si="8"/>
        <v>0</v>
      </c>
      <c r="BD11" s="204">
        <f t="shared" si="8"/>
        <v>0</v>
      </c>
      <c r="BE11" s="204">
        <f t="shared" si="8"/>
        <v>0</v>
      </c>
      <c r="BF11" s="204">
        <f t="shared" si="8"/>
        <v>0</v>
      </c>
      <c r="BG11" s="204">
        <f t="shared" si="8"/>
        <v>0</v>
      </c>
      <c r="BH11" s="204">
        <f t="shared" si="8"/>
        <v>0</v>
      </c>
      <c r="BI11" s="204">
        <f t="shared" si="8"/>
        <v>0</v>
      </c>
      <c r="BJ11" s="204">
        <f t="shared" si="8"/>
        <v>0</v>
      </c>
      <c r="BK11" s="204">
        <f t="shared" si="8"/>
        <v>0</v>
      </c>
      <c r="BL11" s="204">
        <f t="shared" si="8"/>
        <v>0</v>
      </c>
      <c r="BM11" s="204">
        <f t="shared" si="8"/>
        <v>0</v>
      </c>
      <c r="BN11" s="204">
        <f t="shared" si="8"/>
        <v>0</v>
      </c>
      <c r="BO11" s="204">
        <f t="shared" si="8"/>
        <v>0</v>
      </c>
      <c r="BP11" s="204">
        <f t="shared" si="8"/>
        <v>0</v>
      </c>
      <c r="BQ11" s="204">
        <f t="shared" si="8"/>
        <v>0</v>
      </c>
      <c r="BR11" s="204">
        <f t="shared" si="8"/>
        <v>0</v>
      </c>
      <c r="BS11" s="204">
        <f t="shared" si="8"/>
        <v>0</v>
      </c>
      <c r="BT11" s="204">
        <f t="shared" si="8"/>
        <v>0</v>
      </c>
      <c r="BU11" s="204">
        <f t="shared" si="8"/>
        <v>0</v>
      </c>
      <c r="BV11" s="204">
        <f t="shared" si="8"/>
        <v>0</v>
      </c>
      <c r="BW11" s="204">
        <f t="shared" si="8"/>
        <v>0</v>
      </c>
      <c r="BX11" s="204">
        <f t="shared" si="8"/>
        <v>0</v>
      </c>
      <c r="BY11" s="204">
        <f t="shared" si="8"/>
        <v>0</v>
      </c>
      <c r="BZ11" s="204">
        <f t="shared" si="8"/>
        <v>0</v>
      </c>
      <c r="CA11" s="204">
        <f t="shared" si="2"/>
        <v>0</v>
      </c>
      <c r="CB11" s="204">
        <f t="shared" si="2"/>
        <v>0</v>
      </c>
      <c r="CC11" s="204">
        <f t="shared" si="2"/>
        <v>0</v>
      </c>
      <c r="CD11" s="204">
        <f t="shared" si="2"/>
        <v>0</v>
      </c>
      <c r="CE11" s="204">
        <f t="shared" si="2"/>
        <v>0</v>
      </c>
      <c r="CF11" s="204">
        <f t="shared" si="2"/>
        <v>0</v>
      </c>
      <c r="CG11" s="204">
        <f t="shared" si="2"/>
        <v>0</v>
      </c>
      <c r="CH11" s="204">
        <f t="shared" si="2"/>
        <v>0</v>
      </c>
      <c r="CI11" s="204">
        <f t="shared" si="2"/>
        <v>0</v>
      </c>
      <c r="CJ11" s="204">
        <f t="shared" si="2"/>
        <v>0</v>
      </c>
      <c r="CK11" s="204">
        <f t="shared" si="2"/>
        <v>0</v>
      </c>
      <c r="CL11" s="204">
        <f t="shared" si="2"/>
        <v>0</v>
      </c>
      <c r="CM11" s="204">
        <f t="shared" si="2"/>
        <v>0</v>
      </c>
      <c r="CN11" s="204">
        <f t="shared" si="2"/>
        <v>0</v>
      </c>
      <c r="CO11" s="204">
        <f t="shared" si="2"/>
        <v>0</v>
      </c>
      <c r="CP11" s="204">
        <f t="shared" si="2"/>
        <v>0</v>
      </c>
      <c r="CQ11" s="204">
        <f t="shared" si="2"/>
        <v>0</v>
      </c>
      <c r="CR11" s="204">
        <f t="shared" si="2"/>
        <v>0</v>
      </c>
      <c r="CS11" s="204">
        <f t="shared" si="3"/>
        <v>0</v>
      </c>
      <c r="CT11" s="204">
        <f t="shared" si="3"/>
        <v>0</v>
      </c>
      <c r="CU11" s="204">
        <f t="shared" si="3"/>
        <v>0</v>
      </c>
      <c r="CV11" s="204">
        <f t="shared" si="3"/>
        <v>0</v>
      </c>
      <c r="CW11" s="204">
        <f t="shared" si="3"/>
        <v>0</v>
      </c>
      <c r="CX11" s="204">
        <f t="shared" si="3"/>
        <v>0</v>
      </c>
      <c r="CY11" s="204">
        <f t="shared" si="3"/>
        <v>0</v>
      </c>
      <c r="CZ11" s="204">
        <f t="shared" si="3"/>
        <v>0</v>
      </c>
      <c r="DA11" s="204">
        <f t="shared" si="3"/>
        <v>0</v>
      </c>
      <c r="DB11" s="204"/>
    </row>
    <row r="12" spans="1:106">
      <c r="A12" s="201" t="str">
        <f>Income!A82</f>
        <v>Small business/petty trading</v>
      </c>
      <c r="B12" s="203">
        <f>Income!B82</f>
        <v>0</v>
      </c>
      <c r="C12" s="203">
        <f>Income!C82</f>
        <v>0</v>
      </c>
      <c r="D12" s="203">
        <f>Income!D82</f>
        <v>13017.776385018364</v>
      </c>
      <c r="E12" s="203">
        <f>Income!E82</f>
        <v>93725.427417725718</v>
      </c>
      <c r="F12" s="204">
        <f t="shared" si="4"/>
        <v>0</v>
      </c>
      <c r="G12" s="204">
        <f t="shared" si="4"/>
        <v>0</v>
      </c>
      <c r="H12" s="204">
        <f t="shared" si="4"/>
        <v>0</v>
      </c>
      <c r="I12" s="204">
        <f t="shared" si="4"/>
        <v>0</v>
      </c>
      <c r="J12" s="204">
        <f t="shared" si="4"/>
        <v>0</v>
      </c>
      <c r="K12" s="204">
        <f t="shared" si="4"/>
        <v>0</v>
      </c>
      <c r="L12" s="204">
        <f t="shared" si="4"/>
        <v>0</v>
      </c>
      <c r="M12" s="204">
        <f t="shared" si="4"/>
        <v>0</v>
      </c>
      <c r="N12" s="204">
        <f t="shared" si="4"/>
        <v>0</v>
      </c>
      <c r="O12" s="204">
        <f t="shared" si="4"/>
        <v>0</v>
      </c>
      <c r="P12" s="204">
        <f t="shared" si="4"/>
        <v>0</v>
      </c>
      <c r="Q12" s="204">
        <f t="shared" si="4"/>
        <v>0</v>
      </c>
      <c r="R12" s="204">
        <f t="shared" si="4"/>
        <v>0</v>
      </c>
      <c r="S12" s="204">
        <f t="shared" si="4"/>
        <v>0</v>
      </c>
      <c r="T12" s="204">
        <f t="shared" si="4"/>
        <v>0</v>
      </c>
      <c r="U12" s="204">
        <f t="shared" si="4"/>
        <v>0</v>
      </c>
      <c r="V12" s="204">
        <f t="shared" si="6"/>
        <v>0</v>
      </c>
      <c r="W12" s="204">
        <f t="shared" si="6"/>
        <v>0</v>
      </c>
      <c r="X12" s="204">
        <f t="shared" si="6"/>
        <v>0</v>
      </c>
      <c r="Y12" s="204">
        <f t="shared" si="6"/>
        <v>0</v>
      </c>
      <c r="Z12" s="204">
        <f t="shared" si="6"/>
        <v>0</v>
      </c>
      <c r="AA12" s="204">
        <f t="shared" si="6"/>
        <v>0</v>
      </c>
      <c r="AB12" s="204">
        <f t="shared" si="6"/>
        <v>0</v>
      </c>
      <c r="AC12" s="204">
        <f t="shared" si="6"/>
        <v>0</v>
      </c>
      <c r="AD12" s="204">
        <f t="shared" si="6"/>
        <v>0</v>
      </c>
      <c r="AE12" s="204">
        <f t="shared" si="6"/>
        <v>0</v>
      </c>
      <c r="AF12" s="204">
        <f t="shared" si="6"/>
        <v>0</v>
      </c>
      <c r="AG12" s="204">
        <f t="shared" si="6"/>
        <v>0</v>
      </c>
      <c r="AH12" s="204">
        <f t="shared" si="6"/>
        <v>0</v>
      </c>
      <c r="AI12" s="204">
        <f t="shared" si="6"/>
        <v>0</v>
      </c>
      <c r="AJ12" s="204">
        <f t="shared" si="6"/>
        <v>0</v>
      </c>
      <c r="AK12" s="204">
        <f t="shared" si="6"/>
        <v>0</v>
      </c>
      <c r="AL12" s="204">
        <f t="shared" si="7"/>
        <v>0</v>
      </c>
      <c r="AM12" s="204">
        <f t="shared" si="7"/>
        <v>0</v>
      </c>
      <c r="AN12" s="204">
        <f t="shared" si="7"/>
        <v>0</v>
      </c>
      <c r="AO12" s="204">
        <f t="shared" si="7"/>
        <v>0</v>
      </c>
      <c r="AP12" s="204">
        <f t="shared" si="7"/>
        <v>0</v>
      </c>
      <c r="AQ12" s="204">
        <f t="shared" si="7"/>
        <v>0</v>
      </c>
      <c r="AR12" s="204">
        <f t="shared" si="7"/>
        <v>0</v>
      </c>
      <c r="AS12" s="204">
        <f t="shared" si="7"/>
        <v>0</v>
      </c>
      <c r="AT12" s="204">
        <f t="shared" si="7"/>
        <v>0</v>
      </c>
      <c r="AU12" s="204">
        <f t="shared" si="7"/>
        <v>0</v>
      </c>
      <c r="AV12" s="204">
        <f t="shared" si="7"/>
        <v>0</v>
      </c>
      <c r="AW12" s="204">
        <f t="shared" si="7"/>
        <v>0</v>
      </c>
      <c r="AX12" s="204">
        <f t="shared" si="8"/>
        <v>0</v>
      </c>
      <c r="AY12" s="204">
        <f t="shared" si="8"/>
        <v>0</v>
      </c>
      <c r="AZ12" s="204">
        <f t="shared" si="8"/>
        <v>0</v>
      </c>
      <c r="BA12" s="204">
        <f t="shared" si="8"/>
        <v>0</v>
      </c>
      <c r="BB12" s="204">
        <f t="shared" si="8"/>
        <v>0</v>
      </c>
      <c r="BC12" s="204">
        <f t="shared" si="8"/>
        <v>0</v>
      </c>
      <c r="BD12" s="204">
        <f t="shared" si="8"/>
        <v>0</v>
      </c>
      <c r="BE12" s="204">
        <f t="shared" si="8"/>
        <v>0</v>
      </c>
      <c r="BF12" s="204">
        <f t="shared" si="8"/>
        <v>0</v>
      </c>
      <c r="BG12" s="204">
        <f t="shared" si="8"/>
        <v>0</v>
      </c>
      <c r="BH12" s="204">
        <f t="shared" si="8"/>
        <v>0</v>
      </c>
      <c r="BI12" s="204">
        <f t="shared" si="8"/>
        <v>0</v>
      </c>
      <c r="BJ12" s="204">
        <f t="shared" si="8"/>
        <v>0</v>
      </c>
      <c r="BK12" s="204">
        <f t="shared" si="8"/>
        <v>0</v>
      </c>
      <c r="BL12" s="204">
        <f t="shared" si="8"/>
        <v>0</v>
      </c>
      <c r="BM12" s="204">
        <f t="shared" si="8"/>
        <v>0</v>
      </c>
      <c r="BN12" s="204">
        <f t="shared" si="8"/>
        <v>0</v>
      </c>
      <c r="BO12" s="204">
        <f t="shared" si="8"/>
        <v>0</v>
      </c>
      <c r="BP12" s="204">
        <f t="shared" si="8"/>
        <v>0</v>
      </c>
      <c r="BQ12" s="204">
        <f t="shared" si="8"/>
        <v>0</v>
      </c>
      <c r="BR12" s="204">
        <f t="shared" si="8"/>
        <v>0</v>
      </c>
      <c r="BS12" s="204">
        <f t="shared" si="8"/>
        <v>0</v>
      </c>
      <c r="BT12" s="204">
        <f t="shared" si="8"/>
        <v>0</v>
      </c>
      <c r="BU12" s="204">
        <f t="shared" si="8"/>
        <v>0</v>
      </c>
      <c r="BV12" s="204">
        <f t="shared" si="8"/>
        <v>0</v>
      </c>
      <c r="BW12" s="204">
        <f t="shared" si="8"/>
        <v>0</v>
      </c>
      <c r="BX12" s="204">
        <f t="shared" si="8"/>
        <v>0</v>
      </c>
      <c r="BY12" s="204">
        <f t="shared" si="8"/>
        <v>0</v>
      </c>
      <c r="BZ12" s="204">
        <f t="shared" si="8"/>
        <v>0</v>
      </c>
      <c r="CA12" s="204">
        <f t="shared" si="2"/>
        <v>0</v>
      </c>
      <c r="CB12" s="204">
        <f t="shared" si="2"/>
        <v>0</v>
      </c>
      <c r="CC12" s="204">
        <f t="shared" si="2"/>
        <v>13017.776385018364</v>
      </c>
      <c r="CD12" s="204">
        <f t="shared" si="2"/>
        <v>13017.776385018364</v>
      </c>
      <c r="CE12" s="204">
        <f t="shared" si="2"/>
        <v>13017.776385018364</v>
      </c>
      <c r="CF12" s="204">
        <f t="shared" si="2"/>
        <v>13017.776385018364</v>
      </c>
      <c r="CG12" s="204">
        <f t="shared" si="2"/>
        <v>13017.776385018364</v>
      </c>
      <c r="CH12" s="204">
        <f t="shared" si="2"/>
        <v>13017.776385018364</v>
      </c>
      <c r="CI12" s="204">
        <f t="shared" si="2"/>
        <v>13017.776385018364</v>
      </c>
      <c r="CJ12" s="204">
        <f t="shared" si="2"/>
        <v>13017.776385018364</v>
      </c>
      <c r="CK12" s="204">
        <f t="shared" si="2"/>
        <v>13017.776385018364</v>
      </c>
      <c r="CL12" s="204">
        <f t="shared" si="2"/>
        <v>13017.776385018364</v>
      </c>
      <c r="CM12" s="204">
        <f t="shared" si="2"/>
        <v>13017.776385018364</v>
      </c>
      <c r="CN12" s="204">
        <f t="shared" si="2"/>
        <v>13017.776385018364</v>
      </c>
      <c r="CO12" s="204">
        <f t="shared" si="2"/>
        <v>13017.776385018364</v>
      </c>
      <c r="CP12" s="204">
        <f t="shared" si="2"/>
        <v>13017.776385018364</v>
      </c>
      <c r="CQ12" s="204">
        <f t="shared" si="2"/>
        <v>13017.776385018364</v>
      </c>
      <c r="CR12" s="204">
        <f t="shared" si="2"/>
        <v>93725.427417725718</v>
      </c>
      <c r="CS12" s="204">
        <f t="shared" si="3"/>
        <v>93725.427417725718</v>
      </c>
      <c r="CT12" s="204">
        <f t="shared" si="3"/>
        <v>93725.427417725718</v>
      </c>
      <c r="CU12" s="204">
        <f t="shared" si="3"/>
        <v>93725.427417725718</v>
      </c>
      <c r="CV12" s="204">
        <f t="shared" si="3"/>
        <v>93725.427417725718</v>
      </c>
      <c r="CW12" s="204">
        <f t="shared" si="3"/>
        <v>93725.427417725718</v>
      </c>
      <c r="CX12" s="204">
        <f t="shared" si="3"/>
        <v>93725.427417725718</v>
      </c>
      <c r="CY12" s="204">
        <f t="shared" si="3"/>
        <v>93725.427417725718</v>
      </c>
      <c r="CZ12" s="204">
        <f t="shared" si="3"/>
        <v>93725.427417725718</v>
      </c>
      <c r="DA12" s="204">
        <f t="shared" si="3"/>
        <v>93725.427417725718</v>
      </c>
      <c r="DB12" s="204"/>
    </row>
    <row r="13" spans="1:106">
      <c r="A13" s="201" t="str">
        <f>Income!A83</f>
        <v>Food transfer - official</v>
      </c>
      <c r="B13" s="203">
        <f>Income!B83</f>
        <v>2094.7120172507834</v>
      </c>
      <c r="C13" s="203">
        <f>Income!C83</f>
        <v>2094.7120172507839</v>
      </c>
      <c r="D13" s="203">
        <f>Income!D83</f>
        <v>2094.7120172507834</v>
      </c>
      <c r="E13" s="203">
        <f>Income!E83</f>
        <v>0</v>
      </c>
      <c r="F13" s="204">
        <f t="shared" si="4"/>
        <v>2094.7120172507834</v>
      </c>
      <c r="G13" s="204">
        <f t="shared" si="4"/>
        <v>2094.7120172507834</v>
      </c>
      <c r="H13" s="204">
        <f t="shared" si="4"/>
        <v>2094.7120172507834</v>
      </c>
      <c r="I13" s="204">
        <f t="shared" si="4"/>
        <v>2094.7120172507834</v>
      </c>
      <c r="J13" s="204">
        <f t="shared" si="4"/>
        <v>2094.7120172507834</v>
      </c>
      <c r="K13" s="204">
        <f t="shared" si="4"/>
        <v>2094.7120172507834</v>
      </c>
      <c r="L13" s="204">
        <f t="shared" si="4"/>
        <v>2094.7120172507834</v>
      </c>
      <c r="M13" s="204">
        <f t="shared" si="4"/>
        <v>2094.7120172507834</v>
      </c>
      <c r="N13" s="204">
        <f t="shared" si="4"/>
        <v>2094.7120172507834</v>
      </c>
      <c r="O13" s="204">
        <f t="shared" si="4"/>
        <v>2094.7120172507834</v>
      </c>
      <c r="P13" s="204">
        <f t="shared" si="4"/>
        <v>2094.7120172507834</v>
      </c>
      <c r="Q13" s="204">
        <f t="shared" si="4"/>
        <v>2094.7120172507834</v>
      </c>
      <c r="R13" s="204">
        <f t="shared" si="4"/>
        <v>2094.7120172507834</v>
      </c>
      <c r="S13" s="204">
        <f t="shared" si="4"/>
        <v>2094.7120172507834</v>
      </c>
      <c r="T13" s="204">
        <f t="shared" si="4"/>
        <v>2094.7120172507834</v>
      </c>
      <c r="U13" s="204">
        <f t="shared" si="4"/>
        <v>2094.7120172507834</v>
      </c>
      <c r="V13" s="204">
        <f t="shared" si="6"/>
        <v>2094.7120172507834</v>
      </c>
      <c r="W13" s="204">
        <f t="shared" si="6"/>
        <v>2094.7120172507834</v>
      </c>
      <c r="X13" s="204">
        <f t="shared" si="6"/>
        <v>2094.7120172507834</v>
      </c>
      <c r="Y13" s="204">
        <f t="shared" si="6"/>
        <v>2094.7120172507834</v>
      </c>
      <c r="Z13" s="204">
        <f t="shared" si="6"/>
        <v>2094.7120172507834</v>
      </c>
      <c r="AA13" s="204">
        <f t="shared" si="6"/>
        <v>2094.7120172507834</v>
      </c>
      <c r="AB13" s="204">
        <f t="shared" si="6"/>
        <v>2094.7120172507834</v>
      </c>
      <c r="AC13" s="204">
        <f t="shared" si="6"/>
        <v>2094.7120172507834</v>
      </c>
      <c r="AD13" s="204">
        <f t="shared" si="6"/>
        <v>2094.7120172507834</v>
      </c>
      <c r="AE13" s="204">
        <f t="shared" si="6"/>
        <v>2094.7120172507834</v>
      </c>
      <c r="AF13" s="204">
        <f t="shared" si="6"/>
        <v>2094.7120172507834</v>
      </c>
      <c r="AG13" s="204">
        <f t="shared" si="6"/>
        <v>2094.7120172507834</v>
      </c>
      <c r="AH13" s="204">
        <f t="shared" si="6"/>
        <v>2094.7120172507834</v>
      </c>
      <c r="AI13" s="204">
        <f t="shared" si="6"/>
        <v>2094.7120172507834</v>
      </c>
      <c r="AJ13" s="204">
        <f t="shared" si="6"/>
        <v>2094.7120172507834</v>
      </c>
      <c r="AK13" s="204">
        <f t="shared" si="6"/>
        <v>2094.7120172507834</v>
      </c>
      <c r="AL13" s="204">
        <f t="shared" si="7"/>
        <v>2094.7120172507834</v>
      </c>
      <c r="AM13" s="204">
        <f t="shared" si="7"/>
        <v>2094.7120172507834</v>
      </c>
      <c r="AN13" s="204">
        <f t="shared" si="7"/>
        <v>2094.7120172507834</v>
      </c>
      <c r="AO13" s="204">
        <f t="shared" si="7"/>
        <v>2094.7120172507834</v>
      </c>
      <c r="AP13" s="204">
        <f t="shared" si="7"/>
        <v>2094.7120172507834</v>
      </c>
      <c r="AQ13" s="204">
        <f t="shared" si="7"/>
        <v>2094.7120172507834</v>
      </c>
      <c r="AR13" s="204">
        <f t="shared" si="7"/>
        <v>2094.7120172507834</v>
      </c>
      <c r="AS13" s="204">
        <f t="shared" si="7"/>
        <v>2094.7120172507834</v>
      </c>
      <c r="AT13" s="204">
        <f t="shared" si="7"/>
        <v>2094.7120172507834</v>
      </c>
      <c r="AU13" s="204">
        <f t="shared" si="7"/>
        <v>2094.7120172507834</v>
      </c>
      <c r="AV13" s="204">
        <f t="shared" si="7"/>
        <v>2094.7120172507834</v>
      </c>
      <c r="AW13" s="204">
        <f t="shared" si="7"/>
        <v>2094.7120172507834</v>
      </c>
      <c r="AX13" s="204">
        <f t="shared" si="8"/>
        <v>2094.7120172507834</v>
      </c>
      <c r="AY13" s="204">
        <f t="shared" si="8"/>
        <v>2094.7120172507834</v>
      </c>
      <c r="AZ13" s="204">
        <f t="shared" si="8"/>
        <v>2094.7120172507834</v>
      </c>
      <c r="BA13" s="204">
        <f t="shared" si="8"/>
        <v>2094.7120172507834</v>
      </c>
      <c r="BB13" s="204">
        <f t="shared" si="8"/>
        <v>2094.7120172507834</v>
      </c>
      <c r="BC13" s="204">
        <f t="shared" si="8"/>
        <v>2094.7120172507834</v>
      </c>
      <c r="BD13" s="204">
        <f t="shared" si="8"/>
        <v>2094.7120172507839</v>
      </c>
      <c r="BE13" s="204">
        <f t="shared" si="8"/>
        <v>2094.7120172507839</v>
      </c>
      <c r="BF13" s="204">
        <f t="shared" si="8"/>
        <v>2094.7120172507839</v>
      </c>
      <c r="BG13" s="204">
        <f t="shared" si="8"/>
        <v>2094.7120172507839</v>
      </c>
      <c r="BH13" s="204">
        <f t="shared" si="8"/>
        <v>2094.7120172507839</v>
      </c>
      <c r="BI13" s="204">
        <f t="shared" si="8"/>
        <v>2094.7120172507839</v>
      </c>
      <c r="BJ13" s="204">
        <f t="shared" si="8"/>
        <v>2094.7120172507839</v>
      </c>
      <c r="BK13" s="204">
        <f t="shared" si="8"/>
        <v>2094.7120172507839</v>
      </c>
      <c r="BL13" s="204">
        <f t="shared" si="8"/>
        <v>2094.7120172507839</v>
      </c>
      <c r="BM13" s="204">
        <f t="shared" si="8"/>
        <v>2094.7120172507839</v>
      </c>
      <c r="BN13" s="204">
        <f t="shared" si="8"/>
        <v>2094.7120172507839</v>
      </c>
      <c r="BO13" s="204">
        <f t="shared" si="8"/>
        <v>2094.7120172507839</v>
      </c>
      <c r="BP13" s="204">
        <f t="shared" si="8"/>
        <v>2094.7120172507839</v>
      </c>
      <c r="BQ13" s="204">
        <f t="shared" si="8"/>
        <v>2094.7120172507839</v>
      </c>
      <c r="BR13" s="204">
        <f t="shared" si="8"/>
        <v>2094.7120172507839</v>
      </c>
      <c r="BS13" s="204">
        <f t="shared" si="8"/>
        <v>2094.7120172507839</v>
      </c>
      <c r="BT13" s="204">
        <f t="shared" si="8"/>
        <v>2094.7120172507839</v>
      </c>
      <c r="BU13" s="204">
        <f t="shared" si="8"/>
        <v>2094.7120172507839</v>
      </c>
      <c r="BV13" s="204">
        <f t="shared" si="8"/>
        <v>2094.7120172507839</v>
      </c>
      <c r="BW13" s="204">
        <f t="shared" si="8"/>
        <v>2094.7120172507839</v>
      </c>
      <c r="BX13" s="204">
        <f t="shared" si="8"/>
        <v>2094.7120172507839</v>
      </c>
      <c r="BY13" s="204">
        <f t="shared" si="8"/>
        <v>2094.7120172507839</v>
      </c>
      <c r="BZ13" s="204">
        <f t="shared" si="8"/>
        <v>2094.7120172507839</v>
      </c>
      <c r="CA13" s="204">
        <f t="shared" si="2"/>
        <v>2094.7120172507839</v>
      </c>
      <c r="CB13" s="204">
        <f t="shared" si="2"/>
        <v>2094.7120172507839</v>
      </c>
      <c r="CC13" s="204">
        <f t="shared" si="2"/>
        <v>2094.7120172507834</v>
      </c>
      <c r="CD13" s="204">
        <f t="shared" si="2"/>
        <v>2094.7120172507834</v>
      </c>
      <c r="CE13" s="204">
        <f t="shared" si="2"/>
        <v>2094.7120172507834</v>
      </c>
      <c r="CF13" s="204">
        <f t="shared" si="2"/>
        <v>2094.7120172507834</v>
      </c>
      <c r="CG13" s="204">
        <f t="shared" si="2"/>
        <v>2094.7120172507834</v>
      </c>
      <c r="CH13" s="204">
        <f t="shared" si="2"/>
        <v>2094.7120172507834</v>
      </c>
      <c r="CI13" s="204">
        <f t="shared" si="2"/>
        <v>2094.7120172507834</v>
      </c>
      <c r="CJ13" s="204">
        <f t="shared" si="2"/>
        <v>2094.7120172507834</v>
      </c>
      <c r="CK13" s="204">
        <f t="shared" si="2"/>
        <v>2094.7120172507834</v>
      </c>
      <c r="CL13" s="204">
        <f t="shared" si="2"/>
        <v>2094.7120172507834</v>
      </c>
      <c r="CM13" s="204">
        <f t="shared" si="2"/>
        <v>2094.7120172507834</v>
      </c>
      <c r="CN13" s="204">
        <f t="shared" si="2"/>
        <v>2094.7120172507834</v>
      </c>
      <c r="CO13" s="204">
        <f t="shared" si="2"/>
        <v>2094.7120172507834</v>
      </c>
      <c r="CP13" s="204">
        <f t="shared" si="2"/>
        <v>2094.7120172507834</v>
      </c>
      <c r="CQ13" s="204">
        <f t="shared" si="2"/>
        <v>2094.7120172507834</v>
      </c>
      <c r="CR13" s="204">
        <f t="shared" si="2"/>
        <v>0</v>
      </c>
      <c r="CS13" s="204">
        <f t="shared" si="3"/>
        <v>0</v>
      </c>
      <c r="CT13" s="204">
        <f t="shared" si="3"/>
        <v>0</v>
      </c>
      <c r="CU13" s="204">
        <f t="shared" si="3"/>
        <v>0</v>
      </c>
      <c r="CV13" s="204">
        <f t="shared" si="3"/>
        <v>0</v>
      </c>
      <c r="CW13" s="204">
        <f t="shared" si="3"/>
        <v>0</v>
      </c>
      <c r="CX13" s="204">
        <f t="shared" si="3"/>
        <v>0</v>
      </c>
      <c r="CY13" s="204">
        <f t="shared" si="3"/>
        <v>0</v>
      </c>
      <c r="CZ13" s="204">
        <f t="shared" si="3"/>
        <v>0</v>
      </c>
      <c r="DA13" s="204">
        <f t="shared" si="3"/>
        <v>0</v>
      </c>
      <c r="DB13" s="204"/>
    </row>
    <row r="14" spans="1:106">
      <c r="A14" s="201" t="str">
        <f>Income!A85</f>
        <v>Cash transfer - official</v>
      </c>
      <c r="B14" s="203">
        <f>Income!B85</f>
        <v>34543.233399615659</v>
      </c>
      <c r="C14" s="203">
        <f>Income!C85</f>
        <v>32916.011351488363</v>
      </c>
      <c r="D14" s="203">
        <f>Income!D85</f>
        <v>0</v>
      </c>
      <c r="E14" s="203">
        <f>Income!E85</f>
        <v>11390.554336891068</v>
      </c>
      <c r="F14" s="204">
        <f t="shared" si="4"/>
        <v>34543.233399615659</v>
      </c>
      <c r="G14" s="204">
        <f t="shared" si="4"/>
        <v>34543.233399615659</v>
      </c>
      <c r="H14" s="204">
        <f t="shared" si="4"/>
        <v>34543.233399615659</v>
      </c>
      <c r="I14" s="204">
        <f t="shared" si="4"/>
        <v>34543.233399615659</v>
      </c>
      <c r="J14" s="204">
        <f t="shared" si="4"/>
        <v>34543.233399615659</v>
      </c>
      <c r="K14" s="204">
        <f t="shared" si="4"/>
        <v>34543.233399615659</v>
      </c>
      <c r="L14" s="204">
        <f t="shared" si="4"/>
        <v>34543.233399615659</v>
      </c>
      <c r="M14" s="204">
        <f t="shared" si="4"/>
        <v>34543.233399615659</v>
      </c>
      <c r="N14" s="204">
        <f t="shared" si="4"/>
        <v>34543.233399615659</v>
      </c>
      <c r="O14" s="204">
        <f t="shared" si="4"/>
        <v>34543.233399615659</v>
      </c>
      <c r="P14" s="204">
        <f t="shared" si="4"/>
        <v>34543.233399615659</v>
      </c>
      <c r="Q14" s="204">
        <f t="shared" si="4"/>
        <v>34543.233399615659</v>
      </c>
      <c r="R14" s="204">
        <f t="shared" si="4"/>
        <v>34543.233399615659</v>
      </c>
      <c r="S14" s="204">
        <f t="shared" si="4"/>
        <v>34543.233399615659</v>
      </c>
      <c r="T14" s="204">
        <f t="shared" si="4"/>
        <v>34543.233399615659</v>
      </c>
      <c r="U14" s="204">
        <f t="shared" si="4"/>
        <v>34543.233399615659</v>
      </c>
      <c r="V14" s="204">
        <f t="shared" si="6"/>
        <v>34543.233399615659</v>
      </c>
      <c r="W14" s="204">
        <f t="shared" si="6"/>
        <v>34543.233399615659</v>
      </c>
      <c r="X14" s="204">
        <f t="shared" si="6"/>
        <v>34543.233399615659</v>
      </c>
      <c r="Y14" s="204">
        <f t="shared" si="6"/>
        <v>34543.233399615659</v>
      </c>
      <c r="Z14" s="204">
        <f t="shared" si="6"/>
        <v>34543.233399615659</v>
      </c>
      <c r="AA14" s="204">
        <f t="shared" si="6"/>
        <v>34543.233399615659</v>
      </c>
      <c r="AB14" s="204">
        <f t="shared" si="6"/>
        <v>34543.233399615659</v>
      </c>
      <c r="AC14" s="204">
        <f t="shared" si="6"/>
        <v>34543.233399615659</v>
      </c>
      <c r="AD14" s="204">
        <f t="shared" si="6"/>
        <v>34543.233399615659</v>
      </c>
      <c r="AE14" s="204">
        <f t="shared" si="6"/>
        <v>34543.233399615659</v>
      </c>
      <c r="AF14" s="204">
        <f t="shared" si="6"/>
        <v>34543.233399615659</v>
      </c>
      <c r="AG14" s="204">
        <f t="shared" si="6"/>
        <v>34543.233399615659</v>
      </c>
      <c r="AH14" s="204">
        <f t="shared" si="6"/>
        <v>34543.233399615659</v>
      </c>
      <c r="AI14" s="204">
        <f t="shared" si="6"/>
        <v>34543.233399615659</v>
      </c>
      <c r="AJ14" s="204">
        <f t="shared" si="6"/>
        <v>34543.233399615659</v>
      </c>
      <c r="AK14" s="204">
        <f t="shared" si="6"/>
        <v>34543.233399615659</v>
      </c>
      <c r="AL14" s="204">
        <f t="shared" si="7"/>
        <v>34543.233399615659</v>
      </c>
      <c r="AM14" s="204">
        <f t="shared" si="7"/>
        <v>34543.233399615659</v>
      </c>
      <c r="AN14" s="204">
        <f t="shared" si="7"/>
        <v>34543.233399615659</v>
      </c>
      <c r="AO14" s="204">
        <f t="shared" si="7"/>
        <v>34543.233399615659</v>
      </c>
      <c r="AP14" s="204">
        <f t="shared" si="7"/>
        <v>34543.233399615659</v>
      </c>
      <c r="AQ14" s="204">
        <f t="shared" si="7"/>
        <v>34543.233399615659</v>
      </c>
      <c r="AR14" s="204">
        <f t="shared" si="7"/>
        <v>34543.233399615659</v>
      </c>
      <c r="AS14" s="204">
        <f t="shared" si="7"/>
        <v>34543.233399615659</v>
      </c>
      <c r="AT14" s="204">
        <f t="shared" si="7"/>
        <v>34543.233399615659</v>
      </c>
      <c r="AU14" s="204">
        <f t="shared" si="7"/>
        <v>34543.233399615659</v>
      </c>
      <c r="AV14" s="204">
        <f t="shared" si="7"/>
        <v>34543.233399615659</v>
      </c>
      <c r="AW14" s="204">
        <f t="shared" si="7"/>
        <v>34543.233399615659</v>
      </c>
      <c r="AX14" s="204">
        <f t="shared" si="7"/>
        <v>34543.233399615659</v>
      </c>
      <c r="AY14" s="204">
        <f t="shared" si="7"/>
        <v>34543.233399615659</v>
      </c>
      <c r="AZ14" s="204">
        <f t="shared" si="7"/>
        <v>34543.233399615659</v>
      </c>
      <c r="BA14" s="204">
        <f t="shared" si="7"/>
        <v>34543.233399615659</v>
      </c>
      <c r="BB14" s="204">
        <f t="shared" si="8"/>
        <v>34543.233399615659</v>
      </c>
      <c r="BC14" s="204">
        <f t="shared" si="8"/>
        <v>34543.233399615659</v>
      </c>
      <c r="BD14" s="204">
        <f t="shared" si="8"/>
        <v>32916.011351488363</v>
      </c>
      <c r="BE14" s="204">
        <f t="shared" si="8"/>
        <v>32916.011351488363</v>
      </c>
      <c r="BF14" s="204">
        <f t="shared" si="8"/>
        <v>32916.011351488363</v>
      </c>
      <c r="BG14" s="204">
        <f t="shared" si="8"/>
        <v>32916.011351488363</v>
      </c>
      <c r="BH14" s="204">
        <f t="shared" si="8"/>
        <v>32916.011351488363</v>
      </c>
      <c r="BI14" s="204">
        <f t="shared" si="8"/>
        <v>32916.011351488363</v>
      </c>
      <c r="BJ14" s="204">
        <f t="shared" si="8"/>
        <v>32916.011351488363</v>
      </c>
      <c r="BK14" s="204">
        <f t="shared" si="8"/>
        <v>32916.011351488363</v>
      </c>
      <c r="BL14" s="204">
        <f t="shared" si="8"/>
        <v>32916.011351488363</v>
      </c>
      <c r="BM14" s="204">
        <f t="shared" si="8"/>
        <v>32916.011351488363</v>
      </c>
      <c r="BN14" s="204">
        <f t="shared" si="8"/>
        <v>32916.011351488363</v>
      </c>
      <c r="BO14" s="204">
        <f t="shared" si="8"/>
        <v>32916.011351488363</v>
      </c>
      <c r="BP14" s="204">
        <f t="shared" si="8"/>
        <v>32916.011351488363</v>
      </c>
      <c r="BQ14" s="204">
        <f t="shared" si="8"/>
        <v>32916.011351488363</v>
      </c>
      <c r="BR14" s="204">
        <f t="shared" si="8"/>
        <v>32916.011351488363</v>
      </c>
      <c r="BS14" s="204">
        <f t="shared" si="8"/>
        <v>32916.011351488363</v>
      </c>
      <c r="BT14" s="204">
        <f t="shared" si="8"/>
        <v>32916.011351488363</v>
      </c>
      <c r="BU14" s="204">
        <f t="shared" si="8"/>
        <v>32916.011351488363</v>
      </c>
      <c r="BV14" s="204">
        <f t="shared" si="8"/>
        <v>32916.011351488363</v>
      </c>
      <c r="BW14" s="204">
        <f t="shared" si="8"/>
        <v>32916.011351488363</v>
      </c>
      <c r="BX14" s="204">
        <f t="shared" si="8"/>
        <v>32916.011351488363</v>
      </c>
      <c r="BY14" s="204">
        <f t="shared" si="8"/>
        <v>32916.011351488363</v>
      </c>
      <c r="BZ14" s="204">
        <f t="shared" si="8"/>
        <v>32916.011351488363</v>
      </c>
      <c r="CA14" s="204">
        <f t="shared" si="2"/>
        <v>32916.011351488363</v>
      </c>
      <c r="CB14" s="204">
        <f t="shared" si="2"/>
        <v>32916.011351488363</v>
      </c>
      <c r="CC14" s="204">
        <f t="shared" si="2"/>
        <v>0</v>
      </c>
      <c r="CD14" s="204">
        <f t="shared" si="2"/>
        <v>0</v>
      </c>
      <c r="CE14" s="204">
        <f t="shared" si="2"/>
        <v>0</v>
      </c>
      <c r="CF14" s="204">
        <f t="shared" si="2"/>
        <v>0</v>
      </c>
      <c r="CG14" s="204">
        <f t="shared" si="2"/>
        <v>0</v>
      </c>
      <c r="CH14" s="204">
        <f t="shared" si="2"/>
        <v>0</v>
      </c>
      <c r="CI14" s="204">
        <f t="shared" si="2"/>
        <v>0</v>
      </c>
      <c r="CJ14" s="204">
        <f t="shared" si="2"/>
        <v>0</v>
      </c>
      <c r="CK14" s="204">
        <f t="shared" si="2"/>
        <v>0</v>
      </c>
      <c r="CL14" s="204">
        <f t="shared" si="2"/>
        <v>0</v>
      </c>
      <c r="CM14" s="204">
        <f t="shared" si="2"/>
        <v>0</v>
      </c>
      <c r="CN14" s="204">
        <f t="shared" si="2"/>
        <v>0</v>
      </c>
      <c r="CO14" s="204">
        <f t="shared" si="2"/>
        <v>0</v>
      </c>
      <c r="CP14" s="204">
        <f t="shared" si="2"/>
        <v>0</v>
      </c>
      <c r="CQ14" s="204">
        <f t="shared" si="2"/>
        <v>0</v>
      </c>
      <c r="CR14" s="204">
        <f t="shared" si="2"/>
        <v>11390.554336891068</v>
      </c>
      <c r="CS14" s="204">
        <f t="shared" si="3"/>
        <v>11390.554336891068</v>
      </c>
      <c r="CT14" s="204">
        <f t="shared" si="3"/>
        <v>11390.554336891068</v>
      </c>
      <c r="CU14" s="204">
        <f t="shared" si="3"/>
        <v>11390.554336891068</v>
      </c>
      <c r="CV14" s="204">
        <f t="shared" si="3"/>
        <v>11390.554336891068</v>
      </c>
      <c r="CW14" s="204">
        <f t="shared" si="3"/>
        <v>11390.554336891068</v>
      </c>
      <c r="CX14" s="204">
        <f t="shared" si="3"/>
        <v>11390.554336891068</v>
      </c>
      <c r="CY14" s="204">
        <f t="shared" si="3"/>
        <v>11390.554336891068</v>
      </c>
      <c r="CZ14" s="204">
        <f t="shared" si="3"/>
        <v>11390.554336891068</v>
      </c>
      <c r="DA14" s="204">
        <f t="shared" si="3"/>
        <v>11390.554336891068</v>
      </c>
      <c r="DB14" s="204"/>
    </row>
    <row r="15" spans="1:106">
      <c r="A15" s="201" t="str">
        <f>Income!A86</f>
        <v>Cash transfer - gifts</v>
      </c>
      <c r="B15" s="203">
        <f>Income!B86</f>
        <v>0</v>
      </c>
      <c r="C15" s="203">
        <f>Income!C86</f>
        <v>0</v>
      </c>
      <c r="D15" s="203">
        <f>Income!D86</f>
        <v>20500.435251997424</v>
      </c>
      <c r="E15" s="203">
        <f>Income!E86</f>
        <v>38925.201434730108</v>
      </c>
      <c r="F15" s="204">
        <f t="shared" si="4"/>
        <v>0</v>
      </c>
      <c r="G15" s="204">
        <f t="shared" si="4"/>
        <v>0</v>
      </c>
      <c r="H15" s="204">
        <f t="shared" si="4"/>
        <v>0</v>
      </c>
      <c r="I15" s="204">
        <f t="shared" si="4"/>
        <v>0</v>
      </c>
      <c r="J15" s="204">
        <f t="shared" si="4"/>
        <v>0</v>
      </c>
      <c r="K15" s="204">
        <f t="shared" si="4"/>
        <v>0</v>
      </c>
      <c r="L15" s="204">
        <f t="shared" si="4"/>
        <v>0</v>
      </c>
      <c r="M15" s="204">
        <f t="shared" si="4"/>
        <v>0</v>
      </c>
      <c r="N15" s="204">
        <f t="shared" si="4"/>
        <v>0</v>
      </c>
      <c r="O15" s="204">
        <f t="shared" si="4"/>
        <v>0</v>
      </c>
      <c r="P15" s="204">
        <f t="shared" si="4"/>
        <v>0</v>
      </c>
      <c r="Q15" s="204">
        <f t="shared" si="4"/>
        <v>0</v>
      </c>
      <c r="R15" s="204">
        <f t="shared" si="4"/>
        <v>0</v>
      </c>
      <c r="S15" s="204">
        <f t="shared" si="4"/>
        <v>0</v>
      </c>
      <c r="T15" s="204">
        <f t="shared" si="4"/>
        <v>0</v>
      </c>
      <c r="U15" s="204">
        <f t="shared" si="4"/>
        <v>0</v>
      </c>
      <c r="V15" s="204">
        <f t="shared" si="6"/>
        <v>0</v>
      </c>
      <c r="W15" s="204">
        <f t="shared" si="6"/>
        <v>0</v>
      </c>
      <c r="X15" s="204">
        <f t="shared" si="6"/>
        <v>0</v>
      </c>
      <c r="Y15" s="204">
        <f t="shared" si="6"/>
        <v>0</v>
      </c>
      <c r="Z15" s="204">
        <f t="shared" si="6"/>
        <v>0</v>
      </c>
      <c r="AA15" s="204">
        <f t="shared" si="6"/>
        <v>0</v>
      </c>
      <c r="AB15" s="204">
        <f t="shared" si="6"/>
        <v>0</v>
      </c>
      <c r="AC15" s="204">
        <f t="shared" si="6"/>
        <v>0</v>
      </c>
      <c r="AD15" s="204">
        <f t="shared" si="6"/>
        <v>0</v>
      </c>
      <c r="AE15" s="204">
        <f t="shared" si="6"/>
        <v>0</v>
      </c>
      <c r="AF15" s="204">
        <f t="shared" si="6"/>
        <v>0</v>
      </c>
      <c r="AG15" s="204">
        <f t="shared" si="6"/>
        <v>0</v>
      </c>
      <c r="AH15" s="204">
        <f t="shared" si="6"/>
        <v>0</v>
      </c>
      <c r="AI15" s="204">
        <f t="shared" si="6"/>
        <v>0</v>
      </c>
      <c r="AJ15" s="204">
        <f t="shared" si="6"/>
        <v>0</v>
      </c>
      <c r="AK15" s="204">
        <f t="shared" si="6"/>
        <v>0</v>
      </c>
      <c r="AL15" s="204">
        <f t="shared" si="7"/>
        <v>0</v>
      </c>
      <c r="AM15" s="204">
        <f t="shared" si="7"/>
        <v>0</v>
      </c>
      <c r="AN15" s="204">
        <f t="shared" si="7"/>
        <v>0</v>
      </c>
      <c r="AO15" s="204">
        <f t="shared" si="7"/>
        <v>0</v>
      </c>
      <c r="AP15" s="204">
        <f t="shared" si="7"/>
        <v>0</v>
      </c>
      <c r="AQ15" s="204">
        <f t="shared" si="7"/>
        <v>0</v>
      </c>
      <c r="AR15" s="204">
        <f t="shared" si="7"/>
        <v>0</v>
      </c>
      <c r="AS15" s="204">
        <f t="shared" si="7"/>
        <v>0</v>
      </c>
      <c r="AT15" s="204">
        <f t="shared" si="7"/>
        <v>0</v>
      </c>
      <c r="AU15" s="204">
        <f t="shared" si="7"/>
        <v>0</v>
      </c>
      <c r="AV15" s="204">
        <f t="shared" si="7"/>
        <v>0</v>
      </c>
      <c r="AW15" s="204">
        <f t="shared" si="7"/>
        <v>0</v>
      </c>
      <c r="AX15" s="204">
        <f t="shared" si="8"/>
        <v>0</v>
      </c>
      <c r="AY15" s="204">
        <f t="shared" si="8"/>
        <v>0</v>
      </c>
      <c r="AZ15" s="204">
        <f t="shared" si="8"/>
        <v>0</v>
      </c>
      <c r="BA15" s="204">
        <f t="shared" si="8"/>
        <v>0</v>
      </c>
      <c r="BB15" s="204">
        <f t="shared" si="8"/>
        <v>0</v>
      </c>
      <c r="BC15" s="204">
        <f t="shared" si="8"/>
        <v>0</v>
      </c>
      <c r="BD15" s="204">
        <f t="shared" si="8"/>
        <v>0</v>
      </c>
      <c r="BE15" s="204">
        <f t="shared" si="8"/>
        <v>0</v>
      </c>
      <c r="BF15" s="204">
        <f t="shared" si="8"/>
        <v>0</v>
      </c>
      <c r="BG15" s="204">
        <f t="shared" si="8"/>
        <v>0</v>
      </c>
      <c r="BH15" s="204">
        <f t="shared" si="8"/>
        <v>0</v>
      </c>
      <c r="BI15" s="204">
        <f t="shared" si="8"/>
        <v>0</v>
      </c>
      <c r="BJ15" s="204">
        <f t="shared" si="8"/>
        <v>0</v>
      </c>
      <c r="BK15" s="204">
        <f t="shared" si="8"/>
        <v>0</v>
      </c>
      <c r="BL15" s="204">
        <f t="shared" si="8"/>
        <v>0</v>
      </c>
      <c r="BM15" s="204">
        <f t="shared" si="8"/>
        <v>0</v>
      </c>
      <c r="BN15" s="204">
        <f t="shared" si="8"/>
        <v>0</v>
      </c>
      <c r="BO15" s="204">
        <f t="shared" si="8"/>
        <v>0</v>
      </c>
      <c r="BP15" s="204">
        <f t="shared" si="8"/>
        <v>0</v>
      </c>
      <c r="BQ15" s="204">
        <f t="shared" si="8"/>
        <v>0</v>
      </c>
      <c r="BR15" s="204">
        <f t="shared" si="8"/>
        <v>0</v>
      </c>
      <c r="BS15" s="204">
        <f t="shared" si="8"/>
        <v>0</v>
      </c>
      <c r="BT15" s="204">
        <f t="shared" si="8"/>
        <v>0</v>
      </c>
      <c r="BU15" s="204">
        <f t="shared" si="8"/>
        <v>0</v>
      </c>
      <c r="BV15" s="204">
        <f t="shared" si="8"/>
        <v>0</v>
      </c>
      <c r="BW15" s="204">
        <f t="shared" si="8"/>
        <v>0</v>
      </c>
      <c r="BX15" s="204">
        <f t="shared" si="8"/>
        <v>0</v>
      </c>
      <c r="BY15" s="204">
        <f t="shared" si="8"/>
        <v>0</v>
      </c>
      <c r="BZ15" s="204">
        <f t="shared" si="8"/>
        <v>0</v>
      </c>
      <c r="CA15" s="204">
        <f t="shared" si="2"/>
        <v>0</v>
      </c>
      <c r="CB15" s="204">
        <f t="shared" si="2"/>
        <v>0</v>
      </c>
      <c r="CC15" s="204">
        <f t="shared" si="2"/>
        <v>20500.435251997424</v>
      </c>
      <c r="CD15" s="204">
        <f t="shared" ref="CC15:CR18" si="9">IF(CD$2&lt;=($B$2+$C$2+$D$2),IF(CD$2&lt;=($B$2+$C$2),IF(CD$2&lt;=$B$2,$B15,$C15),$D15),$E15)</f>
        <v>20500.435251997424</v>
      </c>
      <c r="CE15" s="204">
        <f t="shared" si="9"/>
        <v>20500.435251997424</v>
      </c>
      <c r="CF15" s="204">
        <f t="shared" si="9"/>
        <v>20500.435251997424</v>
      </c>
      <c r="CG15" s="204">
        <f t="shared" si="9"/>
        <v>20500.435251997424</v>
      </c>
      <c r="CH15" s="204">
        <f t="shared" si="9"/>
        <v>20500.435251997424</v>
      </c>
      <c r="CI15" s="204">
        <f t="shared" si="9"/>
        <v>20500.435251997424</v>
      </c>
      <c r="CJ15" s="204">
        <f t="shared" si="9"/>
        <v>20500.435251997424</v>
      </c>
      <c r="CK15" s="204">
        <f t="shared" si="9"/>
        <v>20500.435251997424</v>
      </c>
      <c r="CL15" s="204">
        <f t="shared" si="9"/>
        <v>20500.435251997424</v>
      </c>
      <c r="CM15" s="204">
        <f t="shared" si="9"/>
        <v>20500.435251997424</v>
      </c>
      <c r="CN15" s="204">
        <f t="shared" si="9"/>
        <v>20500.435251997424</v>
      </c>
      <c r="CO15" s="204">
        <f t="shared" si="9"/>
        <v>20500.435251997424</v>
      </c>
      <c r="CP15" s="204">
        <f t="shared" si="9"/>
        <v>20500.435251997424</v>
      </c>
      <c r="CQ15" s="204">
        <f t="shared" si="9"/>
        <v>20500.435251997424</v>
      </c>
      <c r="CR15" s="204">
        <f t="shared" si="9"/>
        <v>38925.201434730108</v>
      </c>
      <c r="CS15" s="204">
        <f t="shared" si="3"/>
        <v>38925.201434730108</v>
      </c>
      <c r="CT15" s="204">
        <f t="shared" si="3"/>
        <v>38925.201434730108</v>
      </c>
      <c r="CU15" s="204">
        <f t="shared" si="3"/>
        <v>38925.201434730108</v>
      </c>
      <c r="CV15" s="204">
        <f t="shared" si="3"/>
        <v>38925.201434730108</v>
      </c>
      <c r="CW15" s="204">
        <f t="shared" si="3"/>
        <v>38925.201434730108</v>
      </c>
      <c r="CX15" s="204">
        <f t="shared" si="3"/>
        <v>38925.201434730108</v>
      </c>
      <c r="CY15" s="204">
        <f t="shared" si="3"/>
        <v>38925.201434730108</v>
      </c>
      <c r="CZ15" s="204">
        <f t="shared" si="3"/>
        <v>38925.201434730108</v>
      </c>
      <c r="DA15" s="204">
        <f t="shared" si="3"/>
        <v>38925.201434730108</v>
      </c>
      <c r="DB15" s="204"/>
    </row>
    <row r="16" spans="1:106">
      <c r="A16" s="201" t="s">
        <v>115</v>
      </c>
      <c r="B16" s="203">
        <f>Income!B88</f>
        <v>51313.710785378913</v>
      </c>
      <c r="C16" s="203">
        <f>Income!C88</f>
        <v>86672.869900004123</v>
      </c>
      <c r="D16" s="203">
        <f>Income!D88</f>
        <v>154994.76310394032</v>
      </c>
      <c r="E16" s="203">
        <f>Income!E88</f>
        <v>326648.99369562237</v>
      </c>
      <c r="F16" s="204">
        <f t="shared" si="4"/>
        <v>51313.710785378913</v>
      </c>
      <c r="G16" s="204">
        <f t="shared" si="4"/>
        <v>51313.710785378913</v>
      </c>
      <c r="H16" s="204">
        <f t="shared" si="4"/>
        <v>51313.710785378913</v>
      </c>
      <c r="I16" s="204">
        <f t="shared" si="4"/>
        <v>51313.710785378913</v>
      </c>
      <c r="J16" s="204">
        <f t="shared" si="4"/>
        <v>51313.710785378913</v>
      </c>
      <c r="K16" s="204">
        <f t="shared" si="4"/>
        <v>51313.710785378913</v>
      </c>
      <c r="L16" s="204">
        <f t="shared" si="4"/>
        <v>51313.710785378913</v>
      </c>
      <c r="M16" s="204">
        <f t="shared" si="4"/>
        <v>51313.710785378913</v>
      </c>
      <c r="N16" s="204">
        <f t="shared" si="4"/>
        <v>51313.710785378913</v>
      </c>
      <c r="O16" s="204">
        <f t="shared" si="4"/>
        <v>51313.710785378913</v>
      </c>
      <c r="P16" s="204">
        <f t="shared" si="4"/>
        <v>51313.710785378913</v>
      </c>
      <c r="Q16" s="204">
        <f t="shared" si="4"/>
        <v>51313.710785378913</v>
      </c>
      <c r="R16" s="204">
        <f t="shared" si="4"/>
        <v>51313.710785378913</v>
      </c>
      <c r="S16" s="204">
        <f t="shared" si="4"/>
        <v>51313.710785378913</v>
      </c>
      <c r="T16" s="204">
        <f t="shared" si="4"/>
        <v>51313.710785378913</v>
      </c>
      <c r="U16" s="204">
        <f t="shared" si="4"/>
        <v>51313.710785378913</v>
      </c>
      <c r="V16" s="204">
        <f t="shared" si="6"/>
        <v>51313.710785378913</v>
      </c>
      <c r="W16" s="204">
        <f t="shared" si="6"/>
        <v>51313.710785378913</v>
      </c>
      <c r="X16" s="204">
        <f t="shared" si="6"/>
        <v>51313.710785378913</v>
      </c>
      <c r="Y16" s="204">
        <f t="shared" si="6"/>
        <v>51313.710785378913</v>
      </c>
      <c r="Z16" s="204">
        <f t="shared" si="6"/>
        <v>51313.710785378913</v>
      </c>
      <c r="AA16" s="204">
        <f t="shared" si="6"/>
        <v>51313.710785378913</v>
      </c>
      <c r="AB16" s="204">
        <f t="shared" si="6"/>
        <v>51313.710785378913</v>
      </c>
      <c r="AC16" s="204">
        <f t="shared" si="6"/>
        <v>51313.710785378913</v>
      </c>
      <c r="AD16" s="204">
        <f t="shared" si="6"/>
        <v>51313.710785378913</v>
      </c>
      <c r="AE16" s="204">
        <f>IF(AE$2&lt;=($B$2+$C$2+$D$2),IF(AE$2&lt;=($B$2+$C$2),IF(AE$2&lt;=$B$2,$B16,$C16),$D16),$E16)</f>
        <v>51313.710785378913</v>
      </c>
      <c r="AF16" s="204">
        <f t="shared" si="6"/>
        <v>51313.710785378913</v>
      </c>
      <c r="AG16" s="204">
        <f t="shared" si="6"/>
        <v>51313.710785378913</v>
      </c>
      <c r="AH16" s="204">
        <f t="shared" si="6"/>
        <v>51313.710785378913</v>
      </c>
      <c r="AI16" s="204">
        <f t="shared" si="6"/>
        <v>51313.710785378913</v>
      </c>
      <c r="AJ16" s="204">
        <f t="shared" si="6"/>
        <v>51313.710785378913</v>
      </c>
      <c r="AK16" s="204">
        <f t="shared" si="6"/>
        <v>51313.710785378913</v>
      </c>
      <c r="AL16" s="204">
        <f t="shared" si="7"/>
        <v>51313.710785378913</v>
      </c>
      <c r="AM16" s="204">
        <f t="shared" si="7"/>
        <v>51313.710785378913</v>
      </c>
      <c r="AN16" s="204">
        <f t="shared" si="7"/>
        <v>51313.710785378913</v>
      </c>
      <c r="AO16" s="204">
        <f t="shared" si="7"/>
        <v>51313.710785378913</v>
      </c>
      <c r="AP16" s="204">
        <f t="shared" si="7"/>
        <v>51313.710785378913</v>
      </c>
      <c r="AQ16" s="204">
        <f t="shared" si="7"/>
        <v>51313.710785378913</v>
      </c>
      <c r="AR16" s="204">
        <f t="shared" si="7"/>
        <v>51313.710785378913</v>
      </c>
      <c r="AS16" s="204">
        <f t="shared" si="7"/>
        <v>51313.710785378913</v>
      </c>
      <c r="AT16" s="204">
        <f t="shared" si="7"/>
        <v>51313.710785378913</v>
      </c>
      <c r="AU16" s="204">
        <f t="shared" si="7"/>
        <v>51313.710785378913</v>
      </c>
      <c r="AV16" s="204">
        <f t="shared" si="7"/>
        <v>51313.710785378913</v>
      </c>
      <c r="AW16" s="204">
        <f t="shared" si="7"/>
        <v>51313.710785378913</v>
      </c>
      <c r="AX16" s="204">
        <f t="shared" si="8"/>
        <v>51313.710785378913</v>
      </c>
      <c r="AY16" s="204">
        <f t="shared" si="8"/>
        <v>51313.710785378913</v>
      </c>
      <c r="AZ16" s="204">
        <f t="shared" si="8"/>
        <v>51313.710785378913</v>
      </c>
      <c r="BA16" s="204">
        <f t="shared" si="8"/>
        <v>51313.710785378913</v>
      </c>
      <c r="BB16" s="204">
        <f t="shared" si="8"/>
        <v>51313.710785378913</v>
      </c>
      <c r="BC16" s="204">
        <f t="shared" si="8"/>
        <v>51313.710785378913</v>
      </c>
      <c r="BD16" s="204">
        <f t="shared" si="8"/>
        <v>86672.869900004123</v>
      </c>
      <c r="BE16" s="204">
        <f t="shared" si="8"/>
        <v>86672.869900004123</v>
      </c>
      <c r="BF16" s="204">
        <f t="shared" si="8"/>
        <v>86672.869900004123</v>
      </c>
      <c r="BG16" s="204">
        <f t="shared" si="8"/>
        <v>86672.869900004123</v>
      </c>
      <c r="BH16" s="204">
        <f t="shared" si="8"/>
        <v>86672.869900004123</v>
      </c>
      <c r="BI16" s="204">
        <f t="shared" si="8"/>
        <v>86672.869900004123</v>
      </c>
      <c r="BJ16" s="204">
        <f t="shared" si="8"/>
        <v>86672.869900004123</v>
      </c>
      <c r="BK16" s="204">
        <f t="shared" si="8"/>
        <v>86672.869900004123</v>
      </c>
      <c r="BL16" s="204">
        <f t="shared" si="8"/>
        <v>86672.869900004123</v>
      </c>
      <c r="BM16" s="204">
        <f t="shared" si="8"/>
        <v>86672.869900004123</v>
      </c>
      <c r="BN16" s="204">
        <f t="shared" si="8"/>
        <v>86672.869900004123</v>
      </c>
      <c r="BO16" s="204">
        <f t="shared" si="8"/>
        <v>86672.869900004123</v>
      </c>
      <c r="BP16" s="204">
        <f t="shared" si="8"/>
        <v>86672.869900004123</v>
      </c>
      <c r="BQ16" s="204">
        <f t="shared" si="8"/>
        <v>86672.869900004123</v>
      </c>
      <c r="BR16" s="204">
        <f t="shared" si="8"/>
        <v>86672.869900004123</v>
      </c>
      <c r="BS16" s="204">
        <f t="shared" si="8"/>
        <v>86672.869900004123</v>
      </c>
      <c r="BT16" s="204">
        <f t="shared" si="8"/>
        <v>86672.869900004123</v>
      </c>
      <c r="BU16" s="204">
        <f t="shared" si="8"/>
        <v>86672.869900004123</v>
      </c>
      <c r="BV16" s="204">
        <f t="shared" si="8"/>
        <v>86672.869900004123</v>
      </c>
      <c r="BW16" s="204">
        <f t="shared" si="8"/>
        <v>86672.869900004123</v>
      </c>
      <c r="BX16" s="204">
        <f t="shared" si="8"/>
        <v>86672.869900004123</v>
      </c>
      <c r="BY16" s="204">
        <f t="shared" si="8"/>
        <v>86672.869900004123</v>
      </c>
      <c r="BZ16" s="204">
        <f t="shared" si="8"/>
        <v>86672.869900004123</v>
      </c>
      <c r="CA16" s="204">
        <f t="shared" ref="CA16:CB18" si="10">IF(CA$2&lt;=($B$2+$C$2+$D$2),IF(CA$2&lt;=($B$2+$C$2),IF(CA$2&lt;=$B$2,$B16,$C16),$D16),$E16)</f>
        <v>86672.869900004123</v>
      </c>
      <c r="CB16" s="204">
        <f t="shared" si="10"/>
        <v>86672.869900004123</v>
      </c>
      <c r="CC16" s="204">
        <f t="shared" si="9"/>
        <v>154994.76310394032</v>
      </c>
      <c r="CD16" s="204">
        <f t="shared" si="9"/>
        <v>154994.76310394032</v>
      </c>
      <c r="CE16" s="204">
        <f t="shared" si="9"/>
        <v>154994.76310394032</v>
      </c>
      <c r="CF16" s="204">
        <f t="shared" si="9"/>
        <v>154994.76310394032</v>
      </c>
      <c r="CG16" s="204">
        <f t="shared" si="9"/>
        <v>154994.76310394032</v>
      </c>
      <c r="CH16" s="204">
        <f t="shared" si="9"/>
        <v>154994.76310394032</v>
      </c>
      <c r="CI16" s="204">
        <f t="shared" si="9"/>
        <v>154994.76310394032</v>
      </c>
      <c r="CJ16" s="204">
        <f t="shared" si="9"/>
        <v>154994.76310394032</v>
      </c>
      <c r="CK16" s="204">
        <f t="shared" si="9"/>
        <v>154994.76310394032</v>
      </c>
      <c r="CL16" s="204">
        <f t="shared" si="9"/>
        <v>154994.76310394032</v>
      </c>
      <c r="CM16" s="204">
        <f t="shared" si="9"/>
        <v>154994.76310394032</v>
      </c>
      <c r="CN16" s="204">
        <f t="shared" si="9"/>
        <v>154994.76310394032</v>
      </c>
      <c r="CO16" s="204">
        <f t="shared" si="9"/>
        <v>154994.76310394032</v>
      </c>
      <c r="CP16" s="204">
        <f t="shared" si="9"/>
        <v>154994.76310394032</v>
      </c>
      <c r="CQ16" s="204">
        <f t="shared" si="9"/>
        <v>154994.76310394032</v>
      </c>
      <c r="CR16" s="204">
        <f t="shared" si="9"/>
        <v>326648.99369562237</v>
      </c>
      <c r="CS16" s="204">
        <f t="shared" ref="CS16:DA18" si="11">IF(CS$2&lt;=($B$2+$C$2+$D$2),IF(CS$2&lt;=($B$2+$C$2),IF(CS$2&lt;=$B$2,$B16,$C16),$D16),$E16)</f>
        <v>326648.99369562237</v>
      </c>
      <c r="CT16" s="204">
        <f t="shared" si="11"/>
        <v>326648.99369562237</v>
      </c>
      <c r="CU16" s="204">
        <f t="shared" si="11"/>
        <v>326648.99369562237</v>
      </c>
      <c r="CV16" s="204">
        <f t="shared" si="11"/>
        <v>326648.99369562237</v>
      </c>
      <c r="CW16" s="204">
        <f t="shared" si="11"/>
        <v>326648.99369562237</v>
      </c>
      <c r="CX16" s="204">
        <f t="shared" si="11"/>
        <v>326648.99369562237</v>
      </c>
      <c r="CY16" s="204">
        <f t="shared" si="11"/>
        <v>326648.99369562237</v>
      </c>
      <c r="CZ16" s="204">
        <f t="shared" si="11"/>
        <v>326648.99369562237</v>
      </c>
      <c r="DA16" s="204">
        <f t="shared" si="11"/>
        <v>326648.99369562237</v>
      </c>
      <c r="DB16" s="204"/>
    </row>
    <row r="17" spans="1:105">
      <c r="A17" s="201" t="s">
        <v>101</v>
      </c>
      <c r="B17" s="203">
        <f>Income!B89</f>
        <v>35969.406972062061</v>
      </c>
      <c r="C17" s="203">
        <f>Income!C89</f>
        <v>35969.406972062054</v>
      </c>
      <c r="D17" s="203">
        <f>Income!D89</f>
        <v>35969.406972062054</v>
      </c>
      <c r="E17" s="203">
        <f>Income!E89</f>
        <v>35969.406972062061</v>
      </c>
      <c r="F17" s="204">
        <f t="shared" si="4"/>
        <v>35969.406972062061</v>
      </c>
      <c r="G17" s="204">
        <f t="shared" si="4"/>
        <v>35969.406972062061</v>
      </c>
      <c r="H17" s="204">
        <f t="shared" si="4"/>
        <v>35969.406972062061</v>
      </c>
      <c r="I17" s="204">
        <f t="shared" si="4"/>
        <v>35969.406972062061</v>
      </c>
      <c r="J17" s="204">
        <f t="shared" si="4"/>
        <v>35969.406972062061</v>
      </c>
      <c r="K17" s="204">
        <f t="shared" si="4"/>
        <v>35969.406972062061</v>
      </c>
      <c r="L17" s="204">
        <f t="shared" si="4"/>
        <v>35969.406972062061</v>
      </c>
      <c r="M17" s="204">
        <f t="shared" si="4"/>
        <v>35969.406972062061</v>
      </c>
      <c r="N17" s="204">
        <f t="shared" si="4"/>
        <v>35969.406972062061</v>
      </c>
      <c r="O17" s="204">
        <f t="shared" si="4"/>
        <v>35969.406972062061</v>
      </c>
      <c r="P17" s="204">
        <f t="shared" si="4"/>
        <v>35969.406972062061</v>
      </c>
      <c r="Q17" s="204">
        <f t="shared" si="4"/>
        <v>35969.406972062061</v>
      </c>
      <c r="R17" s="204">
        <f t="shared" si="4"/>
        <v>35969.406972062061</v>
      </c>
      <c r="S17" s="204">
        <f t="shared" si="4"/>
        <v>35969.406972062061</v>
      </c>
      <c r="T17" s="204">
        <f t="shared" si="4"/>
        <v>35969.406972062061</v>
      </c>
      <c r="U17" s="204">
        <f t="shared" si="4"/>
        <v>35969.406972062061</v>
      </c>
      <c r="V17" s="204">
        <f t="shared" si="6"/>
        <v>35969.406972062061</v>
      </c>
      <c r="W17" s="204">
        <f t="shared" si="6"/>
        <v>35969.406972062061</v>
      </c>
      <c r="X17" s="204">
        <f t="shared" si="6"/>
        <v>35969.406972062061</v>
      </c>
      <c r="Y17" s="204">
        <f t="shared" si="6"/>
        <v>35969.406972062061</v>
      </c>
      <c r="Z17" s="204">
        <f t="shared" si="6"/>
        <v>35969.406972062061</v>
      </c>
      <c r="AA17" s="204">
        <f t="shared" si="6"/>
        <v>35969.406972062061</v>
      </c>
      <c r="AB17" s="204">
        <f t="shared" si="6"/>
        <v>35969.406972062061</v>
      </c>
      <c r="AC17" s="204">
        <f t="shared" si="6"/>
        <v>35969.406972062061</v>
      </c>
      <c r="AD17" s="204">
        <f t="shared" si="6"/>
        <v>35969.406972062061</v>
      </c>
      <c r="AE17" s="204">
        <f t="shared" si="6"/>
        <v>35969.406972062061</v>
      </c>
      <c r="AF17" s="204">
        <f t="shared" si="6"/>
        <v>35969.406972062061</v>
      </c>
      <c r="AG17" s="204">
        <f t="shared" si="6"/>
        <v>35969.406972062061</v>
      </c>
      <c r="AH17" s="204">
        <f t="shared" si="6"/>
        <v>35969.406972062061</v>
      </c>
      <c r="AI17" s="204">
        <f t="shared" si="6"/>
        <v>35969.406972062061</v>
      </c>
      <c r="AJ17" s="204">
        <f t="shared" si="6"/>
        <v>35969.406972062061</v>
      </c>
      <c r="AK17" s="204">
        <f t="shared" si="6"/>
        <v>35969.406972062061</v>
      </c>
      <c r="AL17" s="204">
        <f t="shared" si="7"/>
        <v>35969.406972062061</v>
      </c>
      <c r="AM17" s="204">
        <f t="shared" si="7"/>
        <v>35969.406972062061</v>
      </c>
      <c r="AN17" s="204">
        <f t="shared" si="7"/>
        <v>35969.406972062061</v>
      </c>
      <c r="AO17" s="204">
        <f t="shared" si="7"/>
        <v>35969.406972062061</v>
      </c>
      <c r="AP17" s="204">
        <f t="shared" si="7"/>
        <v>35969.406972062061</v>
      </c>
      <c r="AQ17" s="204">
        <f t="shared" si="7"/>
        <v>35969.406972062061</v>
      </c>
      <c r="AR17" s="204">
        <f t="shared" si="7"/>
        <v>35969.406972062061</v>
      </c>
      <c r="AS17" s="204">
        <f t="shared" si="7"/>
        <v>35969.406972062061</v>
      </c>
      <c r="AT17" s="204">
        <f t="shared" si="7"/>
        <v>35969.406972062061</v>
      </c>
      <c r="AU17" s="204">
        <f t="shared" si="7"/>
        <v>35969.406972062061</v>
      </c>
      <c r="AV17" s="204">
        <f t="shared" si="7"/>
        <v>35969.406972062061</v>
      </c>
      <c r="AW17" s="204">
        <f t="shared" si="7"/>
        <v>35969.406972062061</v>
      </c>
      <c r="AX17" s="204">
        <f t="shared" si="8"/>
        <v>35969.406972062061</v>
      </c>
      <c r="AY17" s="204">
        <f t="shared" si="8"/>
        <v>35969.406972062061</v>
      </c>
      <c r="AZ17" s="204">
        <f t="shared" si="8"/>
        <v>35969.406972062061</v>
      </c>
      <c r="BA17" s="204">
        <f t="shared" si="8"/>
        <v>35969.406972062061</v>
      </c>
      <c r="BB17" s="204">
        <f t="shared" si="8"/>
        <v>35969.406972062061</v>
      </c>
      <c r="BC17" s="204">
        <f t="shared" si="8"/>
        <v>35969.406972062061</v>
      </c>
      <c r="BD17" s="204">
        <f t="shared" si="8"/>
        <v>35969.406972062054</v>
      </c>
      <c r="BE17" s="204">
        <f t="shared" si="8"/>
        <v>35969.406972062054</v>
      </c>
      <c r="BF17" s="204">
        <f t="shared" si="8"/>
        <v>35969.406972062054</v>
      </c>
      <c r="BG17" s="204">
        <f t="shared" si="8"/>
        <v>35969.406972062054</v>
      </c>
      <c r="BH17" s="204">
        <f t="shared" si="8"/>
        <v>35969.406972062054</v>
      </c>
      <c r="BI17" s="204">
        <f t="shared" si="8"/>
        <v>35969.406972062054</v>
      </c>
      <c r="BJ17" s="204">
        <f t="shared" si="8"/>
        <v>35969.406972062054</v>
      </c>
      <c r="BK17" s="204">
        <f t="shared" si="8"/>
        <v>35969.406972062054</v>
      </c>
      <c r="BL17" s="204">
        <f t="shared" si="8"/>
        <v>35969.406972062054</v>
      </c>
      <c r="BM17" s="204">
        <f t="shared" si="8"/>
        <v>35969.406972062054</v>
      </c>
      <c r="BN17" s="204">
        <f t="shared" si="8"/>
        <v>35969.406972062054</v>
      </c>
      <c r="BO17" s="204">
        <f t="shared" si="8"/>
        <v>35969.406972062054</v>
      </c>
      <c r="BP17" s="204">
        <f t="shared" si="8"/>
        <v>35969.406972062054</v>
      </c>
      <c r="BQ17" s="204">
        <f t="shared" si="8"/>
        <v>35969.406972062054</v>
      </c>
      <c r="BR17" s="204">
        <f t="shared" si="8"/>
        <v>35969.406972062054</v>
      </c>
      <c r="BS17" s="204">
        <f t="shared" si="8"/>
        <v>35969.406972062054</v>
      </c>
      <c r="BT17" s="204">
        <f t="shared" si="8"/>
        <v>35969.406972062054</v>
      </c>
      <c r="BU17" s="204">
        <f t="shared" si="8"/>
        <v>35969.406972062054</v>
      </c>
      <c r="BV17" s="204">
        <f t="shared" si="8"/>
        <v>35969.406972062054</v>
      </c>
      <c r="BW17" s="204">
        <f t="shared" si="8"/>
        <v>35969.406972062054</v>
      </c>
      <c r="BX17" s="204">
        <f t="shared" si="8"/>
        <v>35969.406972062054</v>
      </c>
      <c r="BY17" s="204">
        <f t="shared" si="8"/>
        <v>35969.406972062054</v>
      </c>
      <c r="BZ17" s="204">
        <f t="shared" si="8"/>
        <v>35969.406972062054</v>
      </c>
      <c r="CA17" s="204">
        <f t="shared" si="10"/>
        <v>35969.406972062054</v>
      </c>
      <c r="CB17" s="204">
        <f t="shared" si="10"/>
        <v>35969.406972062054</v>
      </c>
      <c r="CC17" s="204">
        <f t="shared" si="9"/>
        <v>35969.406972062054</v>
      </c>
      <c r="CD17" s="204">
        <f t="shared" si="9"/>
        <v>35969.406972062054</v>
      </c>
      <c r="CE17" s="204">
        <f t="shared" si="9"/>
        <v>35969.406972062054</v>
      </c>
      <c r="CF17" s="204">
        <f t="shared" si="9"/>
        <v>35969.406972062054</v>
      </c>
      <c r="CG17" s="204">
        <f t="shared" si="9"/>
        <v>35969.406972062054</v>
      </c>
      <c r="CH17" s="204">
        <f t="shared" si="9"/>
        <v>35969.406972062054</v>
      </c>
      <c r="CI17" s="204">
        <f t="shared" si="9"/>
        <v>35969.406972062054</v>
      </c>
      <c r="CJ17" s="204">
        <f t="shared" si="9"/>
        <v>35969.406972062054</v>
      </c>
      <c r="CK17" s="204">
        <f t="shared" si="9"/>
        <v>35969.406972062054</v>
      </c>
      <c r="CL17" s="204">
        <f t="shared" si="9"/>
        <v>35969.406972062054</v>
      </c>
      <c r="CM17" s="204">
        <f t="shared" si="9"/>
        <v>35969.406972062054</v>
      </c>
      <c r="CN17" s="204">
        <f t="shared" si="9"/>
        <v>35969.406972062054</v>
      </c>
      <c r="CO17" s="204">
        <f t="shared" si="9"/>
        <v>35969.406972062054</v>
      </c>
      <c r="CP17" s="204">
        <f t="shared" si="9"/>
        <v>35969.406972062054</v>
      </c>
      <c r="CQ17" s="204">
        <f t="shared" si="9"/>
        <v>35969.406972062054</v>
      </c>
      <c r="CR17" s="204">
        <f t="shared" si="9"/>
        <v>35969.406972062061</v>
      </c>
      <c r="CS17" s="204">
        <f t="shared" si="11"/>
        <v>35969.406972062061</v>
      </c>
      <c r="CT17" s="204">
        <f t="shared" si="11"/>
        <v>35969.406972062061</v>
      </c>
      <c r="CU17" s="204">
        <f t="shared" si="11"/>
        <v>35969.406972062061</v>
      </c>
      <c r="CV17" s="204">
        <f t="shared" si="11"/>
        <v>35969.406972062061</v>
      </c>
      <c r="CW17" s="204">
        <f t="shared" si="11"/>
        <v>35969.406972062061</v>
      </c>
      <c r="CX17" s="204">
        <f t="shared" si="11"/>
        <v>35969.406972062061</v>
      </c>
      <c r="CY17" s="204">
        <f t="shared" si="11"/>
        <v>35969.406972062061</v>
      </c>
      <c r="CZ17" s="204">
        <f t="shared" si="11"/>
        <v>35969.406972062061</v>
      </c>
      <c r="DA17" s="204">
        <f t="shared" si="11"/>
        <v>35969.406972062061</v>
      </c>
    </row>
    <row r="18" spans="1:105">
      <c r="A18" s="201" t="s">
        <v>85</v>
      </c>
      <c r="B18" s="203">
        <f>Income!B90</f>
        <v>54352.233638728721</v>
      </c>
      <c r="C18" s="203">
        <f>Income!C90</f>
        <v>54352.233638728729</v>
      </c>
      <c r="D18" s="203">
        <f>Income!D90</f>
        <v>54352.233638728721</v>
      </c>
      <c r="E18" s="203">
        <f>Income!E90</f>
        <v>54352.233638728729</v>
      </c>
      <c r="F18" s="204">
        <f t="shared" ref="F18:U18" si="12">IF(F$2&lt;=($B$2+$C$2+$D$2),IF(F$2&lt;=($B$2+$C$2),IF(F$2&lt;=$B$2,$B18,$C18),$D18),$E18)</f>
        <v>54352.233638728721</v>
      </c>
      <c r="G18" s="204">
        <f t="shared" si="12"/>
        <v>54352.233638728721</v>
      </c>
      <c r="H18" s="204">
        <f t="shared" si="12"/>
        <v>54352.233638728721</v>
      </c>
      <c r="I18" s="204">
        <f t="shared" si="12"/>
        <v>54352.233638728721</v>
      </c>
      <c r="J18" s="204">
        <f t="shared" si="12"/>
        <v>54352.233638728721</v>
      </c>
      <c r="K18" s="204">
        <f t="shared" si="12"/>
        <v>54352.233638728721</v>
      </c>
      <c r="L18" s="204">
        <f t="shared" si="12"/>
        <v>54352.233638728721</v>
      </c>
      <c r="M18" s="204">
        <f t="shared" si="12"/>
        <v>54352.233638728721</v>
      </c>
      <c r="N18" s="204">
        <f t="shared" si="12"/>
        <v>54352.233638728721</v>
      </c>
      <c r="O18" s="204">
        <f t="shared" si="12"/>
        <v>54352.233638728721</v>
      </c>
      <c r="P18" s="204">
        <f t="shared" si="12"/>
        <v>54352.233638728721</v>
      </c>
      <c r="Q18" s="204">
        <f t="shared" si="12"/>
        <v>54352.233638728721</v>
      </c>
      <c r="R18" s="204">
        <f t="shared" si="12"/>
        <v>54352.233638728721</v>
      </c>
      <c r="S18" s="204">
        <f t="shared" si="12"/>
        <v>54352.233638728721</v>
      </c>
      <c r="T18" s="204">
        <f t="shared" si="12"/>
        <v>54352.233638728721</v>
      </c>
      <c r="U18" s="204">
        <f t="shared" si="12"/>
        <v>54352.233638728721</v>
      </c>
      <c r="V18" s="204">
        <f t="shared" si="6"/>
        <v>54352.233638728721</v>
      </c>
      <c r="W18" s="204">
        <f t="shared" si="6"/>
        <v>54352.233638728721</v>
      </c>
      <c r="X18" s="204">
        <f t="shared" si="6"/>
        <v>54352.233638728721</v>
      </c>
      <c r="Y18" s="204">
        <f t="shared" si="6"/>
        <v>54352.233638728721</v>
      </c>
      <c r="Z18" s="204">
        <f t="shared" si="6"/>
        <v>54352.233638728721</v>
      </c>
      <c r="AA18" s="204">
        <f t="shared" si="6"/>
        <v>54352.233638728721</v>
      </c>
      <c r="AB18" s="204">
        <f t="shared" si="6"/>
        <v>54352.233638728721</v>
      </c>
      <c r="AC18" s="204">
        <f t="shared" si="6"/>
        <v>54352.233638728721</v>
      </c>
      <c r="AD18" s="204">
        <f t="shared" si="6"/>
        <v>54352.233638728721</v>
      </c>
      <c r="AE18" s="204">
        <f t="shared" si="6"/>
        <v>54352.233638728721</v>
      </c>
      <c r="AF18" s="204">
        <f t="shared" si="6"/>
        <v>54352.233638728721</v>
      </c>
      <c r="AG18" s="204">
        <f t="shared" si="6"/>
        <v>54352.233638728721</v>
      </c>
      <c r="AH18" s="204">
        <f t="shared" si="6"/>
        <v>54352.233638728721</v>
      </c>
      <c r="AI18" s="204">
        <f t="shared" si="6"/>
        <v>54352.233638728721</v>
      </c>
      <c r="AJ18" s="204">
        <f t="shared" si="6"/>
        <v>54352.233638728721</v>
      </c>
      <c r="AK18" s="204">
        <f t="shared" si="6"/>
        <v>54352.233638728721</v>
      </c>
      <c r="AL18" s="204">
        <f t="shared" si="7"/>
        <v>54352.233638728721</v>
      </c>
      <c r="AM18" s="204">
        <f t="shared" si="7"/>
        <v>54352.233638728721</v>
      </c>
      <c r="AN18" s="204">
        <f t="shared" si="7"/>
        <v>54352.233638728721</v>
      </c>
      <c r="AO18" s="204">
        <f t="shared" si="7"/>
        <v>54352.233638728721</v>
      </c>
      <c r="AP18" s="204">
        <f t="shared" si="7"/>
        <v>54352.233638728721</v>
      </c>
      <c r="AQ18" s="204">
        <f t="shared" si="7"/>
        <v>54352.233638728721</v>
      </c>
      <c r="AR18" s="204">
        <f t="shared" si="7"/>
        <v>54352.233638728721</v>
      </c>
      <c r="AS18" s="204">
        <f t="shared" si="7"/>
        <v>54352.233638728721</v>
      </c>
      <c r="AT18" s="204">
        <f t="shared" si="7"/>
        <v>54352.233638728721</v>
      </c>
      <c r="AU18" s="204">
        <f t="shared" si="7"/>
        <v>54352.233638728721</v>
      </c>
      <c r="AV18" s="204">
        <f t="shared" si="7"/>
        <v>54352.233638728721</v>
      </c>
      <c r="AW18" s="204">
        <f t="shared" si="7"/>
        <v>54352.233638728721</v>
      </c>
      <c r="AX18" s="204">
        <f t="shared" si="8"/>
        <v>54352.233638728721</v>
      </c>
      <c r="AY18" s="204">
        <f t="shared" si="8"/>
        <v>54352.233638728721</v>
      </c>
      <c r="AZ18" s="204">
        <f t="shared" si="8"/>
        <v>54352.233638728721</v>
      </c>
      <c r="BA18" s="204">
        <f t="shared" si="8"/>
        <v>54352.233638728721</v>
      </c>
      <c r="BB18" s="204">
        <f t="shared" si="8"/>
        <v>54352.233638728721</v>
      </c>
      <c r="BC18" s="204">
        <f t="shared" si="8"/>
        <v>54352.233638728721</v>
      </c>
      <c r="BD18" s="204">
        <f t="shared" si="8"/>
        <v>54352.233638728729</v>
      </c>
      <c r="BE18" s="204">
        <f t="shared" si="8"/>
        <v>54352.233638728729</v>
      </c>
      <c r="BF18" s="204">
        <f t="shared" si="8"/>
        <v>54352.233638728729</v>
      </c>
      <c r="BG18" s="204">
        <f t="shared" si="8"/>
        <v>54352.233638728729</v>
      </c>
      <c r="BH18" s="204">
        <f t="shared" si="8"/>
        <v>54352.233638728729</v>
      </c>
      <c r="BI18" s="204">
        <f t="shared" si="8"/>
        <v>54352.233638728729</v>
      </c>
      <c r="BJ18" s="204">
        <f t="shared" si="8"/>
        <v>54352.233638728729</v>
      </c>
      <c r="BK18" s="204">
        <f t="shared" si="8"/>
        <v>54352.233638728729</v>
      </c>
      <c r="BL18" s="204">
        <f t="shared" ref="BL18:BZ18" si="13">IF(BL$2&lt;=($B$2+$C$2+$D$2),IF(BL$2&lt;=($B$2+$C$2),IF(BL$2&lt;=$B$2,$B18,$C18),$D18),$E18)</f>
        <v>54352.233638728729</v>
      </c>
      <c r="BM18" s="204">
        <f t="shared" si="13"/>
        <v>54352.233638728729</v>
      </c>
      <c r="BN18" s="204">
        <f t="shared" si="13"/>
        <v>54352.233638728729</v>
      </c>
      <c r="BO18" s="204">
        <f t="shared" si="13"/>
        <v>54352.233638728729</v>
      </c>
      <c r="BP18" s="204">
        <f t="shared" si="13"/>
        <v>54352.233638728729</v>
      </c>
      <c r="BQ18" s="204">
        <f t="shared" si="13"/>
        <v>54352.233638728729</v>
      </c>
      <c r="BR18" s="204">
        <f t="shared" si="13"/>
        <v>54352.233638728729</v>
      </c>
      <c r="BS18" s="204">
        <f t="shared" si="13"/>
        <v>54352.233638728729</v>
      </c>
      <c r="BT18" s="204">
        <f t="shared" si="13"/>
        <v>54352.233638728729</v>
      </c>
      <c r="BU18" s="204">
        <f t="shared" si="13"/>
        <v>54352.233638728729</v>
      </c>
      <c r="BV18" s="204">
        <f t="shared" si="13"/>
        <v>54352.233638728729</v>
      </c>
      <c r="BW18" s="204">
        <f t="shared" si="13"/>
        <v>54352.233638728729</v>
      </c>
      <c r="BX18" s="204">
        <f t="shared" si="13"/>
        <v>54352.233638728729</v>
      </c>
      <c r="BY18" s="204">
        <f t="shared" si="13"/>
        <v>54352.233638728729</v>
      </c>
      <c r="BZ18" s="204">
        <f t="shared" si="13"/>
        <v>54352.233638728729</v>
      </c>
      <c r="CA18" s="204">
        <f t="shared" si="10"/>
        <v>54352.233638728729</v>
      </c>
      <c r="CB18" s="204">
        <f t="shared" si="10"/>
        <v>54352.233638728729</v>
      </c>
      <c r="CC18" s="204">
        <f t="shared" si="9"/>
        <v>54352.233638728721</v>
      </c>
      <c r="CD18" s="204">
        <f t="shared" si="9"/>
        <v>54352.233638728721</v>
      </c>
      <c r="CE18" s="204">
        <f t="shared" si="9"/>
        <v>54352.233638728721</v>
      </c>
      <c r="CF18" s="204">
        <f t="shared" si="9"/>
        <v>54352.233638728721</v>
      </c>
      <c r="CG18" s="204">
        <f t="shared" si="9"/>
        <v>54352.233638728721</v>
      </c>
      <c r="CH18" s="204">
        <f t="shared" si="9"/>
        <v>54352.233638728721</v>
      </c>
      <c r="CI18" s="204">
        <f t="shared" si="9"/>
        <v>54352.233638728721</v>
      </c>
      <c r="CJ18" s="204">
        <f t="shared" si="9"/>
        <v>54352.233638728721</v>
      </c>
      <c r="CK18" s="204">
        <f t="shared" si="9"/>
        <v>54352.233638728721</v>
      </c>
      <c r="CL18" s="204">
        <f t="shared" si="9"/>
        <v>54352.233638728721</v>
      </c>
      <c r="CM18" s="204">
        <f t="shared" si="9"/>
        <v>54352.233638728721</v>
      </c>
      <c r="CN18" s="204">
        <f t="shared" si="9"/>
        <v>54352.233638728721</v>
      </c>
      <c r="CO18" s="204">
        <f t="shared" si="9"/>
        <v>54352.233638728721</v>
      </c>
      <c r="CP18" s="204">
        <f t="shared" si="9"/>
        <v>54352.233638728721</v>
      </c>
      <c r="CQ18" s="204">
        <f t="shared" si="9"/>
        <v>54352.233638728721</v>
      </c>
      <c r="CR18" s="204">
        <f t="shared" si="9"/>
        <v>54352.233638728729</v>
      </c>
      <c r="CS18" s="204">
        <f t="shared" si="11"/>
        <v>54352.233638728729</v>
      </c>
      <c r="CT18" s="204">
        <f t="shared" si="11"/>
        <v>54352.233638728729</v>
      </c>
      <c r="CU18" s="204">
        <f t="shared" si="11"/>
        <v>54352.233638728729</v>
      </c>
      <c r="CV18" s="204">
        <f t="shared" si="11"/>
        <v>54352.233638728729</v>
      </c>
      <c r="CW18" s="204">
        <f t="shared" si="11"/>
        <v>54352.233638728729</v>
      </c>
      <c r="CX18" s="204">
        <f t="shared" si="11"/>
        <v>54352.233638728729</v>
      </c>
      <c r="CY18" s="204">
        <f t="shared" si="11"/>
        <v>54352.233638728729</v>
      </c>
      <c r="CZ18" s="204">
        <f t="shared" si="11"/>
        <v>54352.233638728729</v>
      </c>
      <c r="DA18" s="204">
        <f t="shared" si="11"/>
        <v>54352.233638728729</v>
      </c>
    </row>
    <row r="19" spans="1:105">
      <c r="A19" s="201" t="s">
        <v>116</v>
      </c>
      <c r="F19" s="201" t="str">
        <f>IF(F$22&lt;$E$24,IF(F$22&lt;$D$24,IF(F$22&lt;$C$24,IF(F$22&lt;$B$24,"",$B$16+(F$22-$B$24)*(($C$16-$B$16)/($C$24-$B$24))),$C$16+(F$22-$C$24)*(($D$16-$C$16)/($D$24-$C$24))),$D$16+(F$22-$D$24)*(($E$16-$D$16)/($E$24-$D$24))),"")</f>
        <v/>
      </c>
      <c r="G19" s="201" t="str">
        <f t="shared" ref="G19:BR19" si="14">IF(G$22&lt;$E$24,IF(G$22&lt;$D$24,IF(G$22&lt;$C$24,IF(G$22&lt;$B$24,"",$B$16+(G$22-$B$24)*(($C$16-$B$16)/($C$24-$B$24))),$C$16+(G$22-$C$24)*(($D$16-$C$16)/($D$24-$C$24))),$D$16+(G$22-$D$24)*(($E$16-$D$16)/($E$24-$D$24))),"")</f>
        <v/>
      </c>
      <c r="H19" s="201" t="str">
        <f t="shared" si="14"/>
        <v/>
      </c>
      <c r="I19" s="201" t="str">
        <f t="shared" si="14"/>
        <v/>
      </c>
      <c r="J19" s="201" t="str">
        <f t="shared" si="14"/>
        <v/>
      </c>
      <c r="K19" s="201" t="str">
        <f t="shared" si="14"/>
        <v/>
      </c>
      <c r="L19" s="201" t="str">
        <f t="shared" si="14"/>
        <v/>
      </c>
      <c r="M19" s="201" t="str">
        <f t="shared" si="14"/>
        <v/>
      </c>
      <c r="N19" s="201" t="str">
        <f t="shared" si="14"/>
        <v/>
      </c>
      <c r="O19" s="201" t="str">
        <f t="shared" si="14"/>
        <v/>
      </c>
      <c r="P19" s="201" t="str">
        <f t="shared" si="14"/>
        <v/>
      </c>
      <c r="Q19" s="201" t="str">
        <f t="shared" si="14"/>
        <v/>
      </c>
      <c r="R19" s="201" t="str">
        <f>IF(R$22&lt;$E$24,IF(R$22&lt;$D$24,IF(R$22&lt;$C$24,IF(R$22&lt;$B$24,"",$B$16+(R$22-$B$24)*(($C$16-$B$16)/($C$24-$B$24))),$C$16+(R$22-$C$24)*(($D$16-$C$16)/($D$24-$C$24))),$D$16+(R$22-$D$24)*(($E$16-$D$16)/($E$24-$D$24))),"")</f>
        <v/>
      </c>
      <c r="S19" s="201" t="str">
        <f>IF(S$22&lt;$E$24,IF(S$22&lt;$D$24,IF(S$22&lt;$C$24,IF(S$22&lt;$B$24,"",$B$16+(S$22-$B$24)*(($C$16-$B$16)/($C$24-$B$24))),$C$16+(S$22-$C$24)*(($D$16-$C$16)/($D$24-$C$24))),$D$16+(S$22-$D$24)*(($E$16-$D$16)/($E$24-$D$24))),"")</f>
        <v/>
      </c>
      <c r="T19" s="201" t="str">
        <f t="shared" si="14"/>
        <v/>
      </c>
      <c r="U19" s="201" t="str">
        <f t="shared" si="14"/>
        <v/>
      </c>
      <c r="V19" s="201" t="str">
        <f t="shared" si="14"/>
        <v/>
      </c>
      <c r="W19" s="201" t="str">
        <f t="shared" si="14"/>
        <v/>
      </c>
      <c r="X19" s="201" t="str">
        <f t="shared" si="14"/>
        <v/>
      </c>
      <c r="Y19" s="201" t="str">
        <f t="shared" si="14"/>
        <v/>
      </c>
      <c r="Z19" s="201" t="str">
        <f t="shared" si="14"/>
        <v/>
      </c>
      <c r="AA19" s="201" t="str">
        <f t="shared" si="14"/>
        <v/>
      </c>
      <c r="AB19" s="201" t="str">
        <f t="shared" si="14"/>
        <v/>
      </c>
      <c r="AC19" s="201" t="str">
        <f t="shared" si="14"/>
        <v/>
      </c>
      <c r="AD19" s="201" t="str">
        <f t="shared" si="14"/>
        <v/>
      </c>
      <c r="AE19" s="201">
        <f t="shared" si="14"/>
        <v>51313.710785378913</v>
      </c>
      <c r="AF19" s="201">
        <f t="shared" si="14"/>
        <v>52256.621695102251</v>
      </c>
      <c r="AG19" s="201">
        <f t="shared" si="14"/>
        <v>53199.532604825588</v>
      </c>
      <c r="AH19" s="201">
        <f t="shared" si="14"/>
        <v>54142.443514548926</v>
      </c>
      <c r="AI19" s="201">
        <f t="shared" si="14"/>
        <v>55085.354424272271</v>
      </c>
      <c r="AJ19" s="201">
        <f t="shared" si="14"/>
        <v>56028.265333995609</v>
      </c>
      <c r="AK19" s="201">
        <f t="shared" si="14"/>
        <v>56971.176243718946</v>
      </c>
      <c r="AL19" s="201">
        <f t="shared" si="14"/>
        <v>57914.087153442284</v>
      </c>
      <c r="AM19" s="201">
        <f t="shared" si="14"/>
        <v>58856.998063165622</v>
      </c>
      <c r="AN19" s="201">
        <f t="shared" si="14"/>
        <v>59799.908972888967</v>
      </c>
      <c r="AO19" s="201">
        <f t="shared" si="14"/>
        <v>60742.819882612304</v>
      </c>
      <c r="AP19" s="201">
        <f t="shared" si="14"/>
        <v>61685.730792335642</v>
      </c>
      <c r="AQ19" s="201">
        <f t="shared" si="14"/>
        <v>62628.64170205898</v>
      </c>
      <c r="AR19" s="201">
        <f t="shared" si="14"/>
        <v>63571.552611782317</v>
      </c>
      <c r="AS19" s="201">
        <f t="shared" si="14"/>
        <v>64514.463521505662</v>
      </c>
      <c r="AT19" s="201">
        <f t="shared" si="14"/>
        <v>65457.374431228993</v>
      </c>
      <c r="AU19" s="201">
        <f t="shared" si="14"/>
        <v>66400.285340952338</v>
      </c>
      <c r="AV19" s="201">
        <f t="shared" si="14"/>
        <v>67343.196250675683</v>
      </c>
      <c r="AW19" s="201">
        <f t="shared" si="14"/>
        <v>68286.107160399013</v>
      </c>
      <c r="AX19" s="201">
        <f t="shared" si="14"/>
        <v>69229.018070122358</v>
      </c>
      <c r="AY19" s="201">
        <f t="shared" si="14"/>
        <v>70171.928979845688</v>
      </c>
      <c r="AZ19" s="201">
        <f t="shared" si="14"/>
        <v>71114.839889569033</v>
      </c>
      <c r="BA19" s="201">
        <f t="shared" si="14"/>
        <v>72057.750799292378</v>
      </c>
      <c r="BB19" s="201">
        <f t="shared" si="14"/>
        <v>73000.661709015709</v>
      </c>
      <c r="BC19" s="201">
        <f t="shared" si="14"/>
        <v>73943.572618739039</v>
      </c>
      <c r="BD19" s="201">
        <f t="shared" si="14"/>
        <v>74886.483528462384</v>
      </c>
      <c r="BE19" s="201">
        <f t="shared" si="14"/>
        <v>75829.394438185729</v>
      </c>
      <c r="BF19" s="201">
        <f t="shared" si="14"/>
        <v>76772.305347909059</v>
      </c>
      <c r="BG19" s="201">
        <f t="shared" si="14"/>
        <v>77715.216257632404</v>
      </c>
      <c r="BH19" s="201">
        <f t="shared" si="14"/>
        <v>78658.127167355735</v>
      </c>
      <c r="BI19" s="201">
        <f t="shared" si="14"/>
        <v>79601.03807707908</v>
      </c>
      <c r="BJ19" s="201">
        <f t="shared" si="14"/>
        <v>80543.948986802425</v>
      </c>
      <c r="BK19" s="201">
        <f t="shared" si="14"/>
        <v>81486.859896525755</v>
      </c>
      <c r="BL19" s="201">
        <f t="shared" si="14"/>
        <v>82429.7708062491</v>
      </c>
      <c r="BM19" s="201">
        <f t="shared" si="14"/>
        <v>83372.681715972431</v>
      </c>
      <c r="BN19" s="201">
        <f t="shared" si="14"/>
        <v>84315.592625695775</v>
      </c>
      <c r="BO19" s="201">
        <f t="shared" si="14"/>
        <v>85258.50353541912</v>
      </c>
      <c r="BP19" s="201">
        <f t="shared" si="14"/>
        <v>86201.414445142451</v>
      </c>
      <c r="BQ19" s="201">
        <f t="shared" si="14"/>
        <v>88380.917230102525</v>
      </c>
      <c r="BR19" s="201">
        <f t="shared" si="14"/>
        <v>91797.011890299342</v>
      </c>
      <c r="BS19" s="201">
        <f t="shared" ref="BS19:DA19" si="15">IF(BS$22&lt;$E$24,IF(BS$22&lt;$D$24,IF(BS$22&lt;$C$24,IF(BS$22&lt;$B$24,"",$B$16+(BS$22-$B$24)*(($C$16-$B$16)/($C$24-$B$24))),$C$16+(BS$22-$C$24)*(($D$16-$C$16)/($D$24-$C$24))),$D$16+(BS$22-$D$24)*(($E$16-$D$16)/($E$24-$D$24))),"")</f>
        <v>95213.106550496144</v>
      </c>
      <c r="BT19" s="201">
        <f t="shared" si="15"/>
        <v>98629.201210692961</v>
      </c>
      <c r="BU19" s="201">
        <f t="shared" si="15"/>
        <v>102045.29587088976</v>
      </c>
      <c r="BV19" s="201">
        <f t="shared" si="15"/>
        <v>105461.39053108658</v>
      </c>
      <c r="BW19" s="201">
        <f t="shared" si="15"/>
        <v>108877.48519128338</v>
      </c>
      <c r="BX19" s="201">
        <f t="shared" si="15"/>
        <v>112293.5798514802</v>
      </c>
      <c r="BY19" s="201">
        <f t="shared" si="15"/>
        <v>115709.674511677</v>
      </c>
      <c r="BZ19" s="201">
        <f t="shared" si="15"/>
        <v>119125.76917187382</v>
      </c>
      <c r="CA19" s="201">
        <f t="shared" si="15"/>
        <v>122541.86383207062</v>
      </c>
      <c r="CB19" s="201">
        <f t="shared" si="15"/>
        <v>125957.95849226744</v>
      </c>
      <c r="CC19" s="201">
        <f t="shared" si="15"/>
        <v>129374.05315246424</v>
      </c>
      <c r="CD19" s="201">
        <f t="shared" si="15"/>
        <v>132790.14781266107</v>
      </c>
      <c r="CE19" s="201">
        <f t="shared" si="15"/>
        <v>136206.24247285788</v>
      </c>
      <c r="CF19" s="201">
        <f t="shared" si="15"/>
        <v>139622.33713305468</v>
      </c>
      <c r="CG19" s="201">
        <f t="shared" si="15"/>
        <v>143038.43179325148</v>
      </c>
      <c r="CH19" s="201">
        <f t="shared" si="15"/>
        <v>146454.52645344828</v>
      </c>
      <c r="CI19" s="201">
        <f t="shared" si="15"/>
        <v>149870.62111364509</v>
      </c>
      <c r="CJ19" s="201">
        <f t="shared" si="15"/>
        <v>153286.71577384192</v>
      </c>
      <c r="CK19" s="201">
        <f t="shared" si="15"/>
        <v>161860.93232760759</v>
      </c>
      <c r="CL19" s="201">
        <f t="shared" si="15"/>
        <v>175593.27077494215</v>
      </c>
      <c r="CM19" s="201">
        <f t="shared" si="15"/>
        <v>189325.60922227672</v>
      </c>
      <c r="CN19" s="201">
        <f t="shared" si="15"/>
        <v>203057.94766961128</v>
      </c>
      <c r="CO19" s="201">
        <f t="shared" si="15"/>
        <v>216790.28611694585</v>
      </c>
      <c r="CP19" s="201">
        <f t="shared" si="15"/>
        <v>230522.62456428041</v>
      </c>
      <c r="CQ19" s="201">
        <f t="shared" si="15"/>
        <v>244254.96301161498</v>
      </c>
      <c r="CR19" s="201">
        <f t="shared" si="15"/>
        <v>257987.30145894954</v>
      </c>
      <c r="CS19" s="201">
        <f t="shared" si="15"/>
        <v>271719.63990628411</v>
      </c>
      <c r="CT19" s="201">
        <f t="shared" si="15"/>
        <v>285451.97835361864</v>
      </c>
      <c r="CU19" s="201">
        <f t="shared" si="15"/>
        <v>299184.31680095324</v>
      </c>
      <c r="CV19" s="201">
        <f t="shared" si="15"/>
        <v>312916.65524828783</v>
      </c>
      <c r="CW19" s="201" t="str">
        <f t="shared" si="15"/>
        <v/>
      </c>
      <c r="CX19" s="201" t="str">
        <f t="shared" si="15"/>
        <v/>
      </c>
      <c r="CY19" s="201" t="str">
        <f t="shared" si="15"/>
        <v/>
      </c>
      <c r="CZ19" s="201" t="str">
        <f t="shared" si="15"/>
        <v/>
      </c>
      <c r="DA19" s="201" t="str">
        <f t="shared" si="15"/>
        <v/>
      </c>
    </row>
    <row r="21" spans="1:105">
      <c r="B21" s="201" t="s">
        <v>97</v>
      </c>
      <c r="C21" s="201" t="s">
        <v>96</v>
      </c>
      <c r="D21" s="201" t="s">
        <v>98</v>
      </c>
      <c r="E21" s="201" t="s">
        <v>99</v>
      </c>
    </row>
    <row r="22" spans="1:105">
      <c r="B22" s="205">
        <f>B2*100</f>
        <v>50</v>
      </c>
      <c r="C22" s="205">
        <f>C2*100</f>
        <v>25</v>
      </c>
      <c r="D22" s="205">
        <f>D2*100</f>
        <v>15</v>
      </c>
      <c r="E22" s="205">
        <f>E2*100</f>
        <v>10</v>
      </c>
      <c r="F22" s="205">
        <v>0</v>
      </c>
      <c r="G22" s="205">
        <v>1</v>
      </c>
      <c r="H22" s="205">
        <v>2</v>
      </c>
      <c r="I22" s="205">
        <v>3</v>
      </c>
      <c r="J22" s="205">
        <v>4</v>
      </c>
      <c r="K22" s="205">
        <v>5</v>
      </c>
      <c r="L22" s="205">
        <v>6</v>
      </c>
      <c r="M22" s="205">
        <v>7</v>
      </c>
      <c r="N22" s="205">
        <v>8</v>
      </c>
      <c r="O22" s="205">
        <v>9</v>
      </c>
      <c r="P22" s="205">
        <v>10</v>
      </c>
      <c r="Q22" s="205">
        <v>11</v>
      </c>
      <c r="R22" s="205">
        <v>12</v>
      </c>
      <c r="S22" s="205">
        <v>13</v>
      </c>
      <c r="T22" s="205">
        <v>14</v>
      </c>
      <c r="U22" s="205">
        <v>15</v>
      </c>
      <c r="V22" s="205">
        <v>16</v>
      </c>
      <c r="W22" s="205">
        <v>17</v>
      </c>
      <c r="X22" s="205">
        <v>18</v>
      </c>
      <c r="Y22" s="205">
        <v>19</v>
      </c>
      <c r="Z22" s="205">
        <v>20</v>
      </c>
      <c r="AA22" s="205">
        <v>21</v>
      </c>
      <c r="AB22" s="205">
        <v>22</v>
      </c>
      <c r="AC22" s="205">
        <v>23</v>
      </c>
      <c r="AD22" s="205">
        <v>24</v>
      </c>
      <c r="AE22" s="205">
        <v>25</v>
      </c>
      <c r="AF22" s="205">
        <v>26</v>
      </c>
      <c r="AG22" s="205">
        <v>27</v>
      </c>
      <c r="AH22" s="205">
        <v>28</v>
      </c>
      <c r="AI22" s="205">
        <v>29</v>
      </c>
      <c r="AJ22" s="205">
        <v>30</v>
      </c>
      <c r="AK22" s="205">
        <v>31</v>
      </c>
      <c r="AL22" s="205">
        <v>32</v>
      </c>
      <c r="AM22" s="205">
        <v>33</v>
      </c>
      <c r="AN22" s="205">
        <v>34</v>
      </c>
      <c r="AO22" s="205">
        <v>35</v>
      </c>
      <c r="AP22" s="205">
        <v>36</v>
      </c>
      <c r="AQ22" s="205">
        <v>37</v>
      </c>
      <c r="AR22" s="205">
        <v>38</v>
      </c>
      <c r="AS22" s="205">
        <v>39</v>
      </c>
      <c r="AT22" s="205">
        <v>40</v>
      </c>
      <c r="AU22" s="205">
        <v>41</v>
      </c>
      <c r="AV22" s="205">
        <v>42</v>
      </c>
      <c r="AW22" s="205">
        <v>43</v>
      </c>
      <c r="AX22" s="205">
        <v>44</v>
      </c>
      <c r="AY22" s="205">
        <v>45</v>
      </c>
      <c r="AZ22" s="205">
        <v>46</v>
      </c>
      <c r="BA22" s="205">
        <v>47</v>
      </c>
      <c r="BB22" s="205">
        <v>48</v>
      </c>
      <c r="BC22" s="205">
        <v>49</v>
      </c>
      <c r="BD22" s="205">
        <v>50</v>
      </c>
      <c r="BE22" s="205">
        <v>51</v>
      </c>
      <c r="BF22" s="205">
        <v>52</v>
      </c>
      <c r="BG22" s="205">
        <v>53</v>
      </c>
      <c r="BH22" s="205">
        <v>54</v>
      </c>
      <c r="BI22" s="205">
        <v>55</v>
      </c>
      <c r="BJ22" s="205">
        <v>56</v>
      </c>
      <c r="BK22" s="205">
        <v>57</v>
      </c>
      <c r="BL22" s="205">
        <v>58</v>
      </c>
      <c r="BM22" s="205">
        <v>59</v>
      </c>
      <c r="BN22" s="205">
        <v>60</v>
      </c>
      <c r="BO22" s="205">
        <v>61</v>
      </c>
      <c r="BP22" s="205">
        <v>62</v>
      </c>
      <c r="BQ22" s="205">
        <v>63</v>
      </c>
      <c r="BR22" s="205">
        <v>64</v>
      </c>
      <c r="BS22" s="205">
        <v>65</v>
      </c>
      <c r="BT22" s="205">
        <v>66</v>
      </c>
      <c r="BU22" s="205">
        <v>67</v>
      </c>
      <c r="BV22" s="205">
        <v>68</v>
      </c>
      <c r="BW22" s="205">
        <v>69</v>
      </c>
      <c r="BX22" s="205">
        <v>70</v>
      </c>
      <c r="BY22" s="205">
        <v>71</v>
      </c>
      <c r="BZ22" s="205">
        <v>72</v>
      </c>
      <c r="CA22" s="205">
        <v>73</v>
      </c>
      <c r="CB22" s="205">
        <v>74</v>
      </c>
      <c r="CC22" s="205">
        <v>75</v>
      </c>
      <c r="CD22" s="205">
        <v>76</v>
      </c>
      <c r="CE22" s="205">
        <v>77</v>
      </c>
      <c r="CF22" s="205">
        <v>78</v>
      </c>
      <c r="CG22" s="205">
        <v>79</v>
      </c>
      <c r="CH22" s="205">
        <v>80</v>
      </c>
      <c r="CI22" s="205">
        <v>81</v>
      </c>
      <c r="CJ22" s="205">
        <v>82</v>
      </c>
      <c r="CK22" s="205">
        <v>83</v>
      </c>
      <c r="CL22" s="205">
        <v>84</v>
      </c>
      <c r="CM22" s="205">
        <v>85</v>
      </c>
      <c r="CN22" s="205">
        <v>86</v>
      </c>
      <c r="CO22" s="205">
        <v>87</v>
      </c>
      <c r="CP22" s="205">
        <v>88</v>
      </c>
      <c r="CQ22" s="205">
        <v>89</v>
      </c>
      <c r="CR22" s="205">
        <v>90</v>
      </c>
      <c r="CS22" s="205">
        <v>91</v>
      </c>
      <c r="CT22" s="205">
        <v>92</v>
      </c>
      <c r="CU22" s="205">
        <v>93</v>
      </c>
      <c r="CV22" s="205">
        <v>94</v>
      </c>
      <c r="CW22" s="205">
        <v>95</v>
      </c>
      <c r="CX22" s="205">
        <v>96</v>
      </c>
      <c r="CY22" s="205">
        <v>97</v>
      </c>
      <c r="CZ22" s="205">
        <v>98</v>
      </c>
      <c r="DA22" s="205">
        <v>99</v>
      </c>
    </row>
    <row r="23" spans="1:105">
      <c r="B23" s="206">
        <f>SUM($B22:B22)</f>
        <v>50</v>
      </c>
      <c r="C23" s="206">
        <f>SUM($B22:C22)</f>
        <v>75</v>
      </c>
      <c r="D23" s="206">
        <f>SUM($B22:D22)</f>
        <v>90</v>
      </c>
      <c r="E23" s="206">
        <f>SUM($B22:E22)</f>
        <v>100</v>
      </c>
      <c r="F23" s="207"/>
      <c r="G23" s="207"/>
      <c r="H23" s="207"/>
      <c r="I23" s="207"/>
      <c r="J23" s="207"/>
      <c r="K23" s="207"/>
      <c r="L23" s="207"/>
      <c r="M23" s="207"/>
      <c r="N23" s="207"/>
      <c r="O23" s="207"/>
      <c r="P23" s="207"/>
      <c r="Q23" s="207"/>
      <c r="R23" s="207"/>
      <c r="S23" s="207"/>
      <c r="T23" s="207"/>
      <c r="U23" s="207"/>
      <c r="V23" s="207"/>
      <c r="W23" s="207"/>
      <c r="X23" s="207"/>
      <c r="Y23" s="207"/>
      <c r="Z23" s="207"/>
      <c r="AA23" s="207"/>
      <c r="AB23" s="207"/>
      <c r="AC23" s="207"/>
      <c r="AD23" s="207"/>
      <c r="AE23" s="207"/>
      <c r="AF23" s="207"/>
      <c r="AG23" s="207"/>
      <c r="AH23" s="207"/>
      <c r="AI23" s="207"/>
      <c r="AJ23" s="207"/>
      <c r="AK23" s="207"/>
      <c r="AL23" s="207"/>
      <c r="AM23" s="207"/>
      <c r="AN23" s="207"/>
      <c r="AO23" s="207"/>
      <c r="AP23" s="207"/>
      <c r="AQ23" s="207"/>
      <c r="AR23" s="207"/>
      <c r="AS23" s="207"/>
      <c r="AT23" s="207"/>
      <c r="AU23" s="207"/>
      <c r="AV23" s="207"/>
      <c r="AW23" s="207"/>
      <c r="AX23" s="207"/>
      <c r="AY23" s="207"/>
      <c r="AZ23" s="207"/>
      <c r="BA23" s="207"/>
      <c r="BB23" s="207"/>
      <c r="BC23" s="207"/>
      <c r="BD23" s="207"/>
      <c r="BE23" s="207"/>
      <c r="BF23" s="207"/>
      <c r="BG23" s="207"/>
      <c r="BH23" s="207"/>
      <c r="BI23" s="207"/>
      <c r="BJ23" s="207"/>
      <c r="BK23" s="207"/>
      <c r="BL23" s="207"/>
      <c r="BM23" s="207"/>
      <c r="BN23" s="207"/>
      <c r="BO23" s="207"/>
      <c r="BP23" s="207"/>
      <c r="BQ23" s="207"/>
      <c r="BR23" s="207"/>
      <c r="BS23" s="207"/>
      <c r="BT23" s="207"/>
      <c r="BU23" s="207"/>
      <c r="BV23" s="207"/>
      <c r="BW23" s="207"/>
      <c r="BX23" s="207"/>
      <c r="BY23" s="207"/>
      <c r="BZ23" s="207"/>
      <c r="CA23" s="207"/>
      <c r="CB23" s="207"/>
      <c r="CC23" s="207"/>
      <c r="CD23" s="207"/>
      <c r="CE23" s="207"/>
      <c r="CF23" s="207"/>
      <c r="CG23" s="207"/>
      <c r="CH23" s="207"/>
      <c r="CI23" s="207"/>
      <c r="CJ23" s="207"/>
      <c r="CK23" s="207"/>
      <c r="CL23" s="207"/>
      <c r="CM23" s="207"/>
      <c r="CN23" s="207"/>
      <c r="CO23" s="207"/>
      <c r="CP23" s="207"/>
      <c r="CQ23" s="207"/>
      <c r="CR23" s="207"/>
      <c r="CS23" s="207"/>
      <c r="CT23" s="207"/>
      <c r="CU23" s="207"/>
      <c r="CV23" s="207"/>
      <c r="CW23" s="207"/>
      <c r="CX23" s="207"/>
      <c r="CY23" s="207"/>
      <c r="CZ23" s="207"/>
      <c r="DA23" s="207"/>
    </row>
    <row r="24" spans="1:105">
      <c r="B24" s="208">
        <f>A23+(B23-A23)/2</f>
        <v>25</v>
      </c>
      <c r="C24" s="208">
        <f>B23+(C23-B23)/2</f>
        <v>62.5</v>
      </c>
      <c r="D24" s="208">
        <f>C23+(D23-C23)/2</f>
        <v>82.5</v>
      </c>
      <c r="E24" s="208">
        <f>D23+(E23-D23)/2</f>
        <v>95</v>
      </c>
      <c r="F24" s="209"/>
      <c r="G24" s="209"/>
      <c r="H24" s="209"/>
      <c r="I24" s="209"/>
      <c r="J24" s="209"/>
      <c r="K24" s="209"/>
      <c r="L24" s="209"/>
      <c r="M24" s="209"/>
      <c r="N24" s="209"/>
      <c r="O24" s="209"/>
      <c r="P24" s="209"/>
      <c r="Q24" s="209"/>
      <c r="R24" s="209"/>
      <c r="S24" s="209"/>
      <c r="T24" s="209"/>
      <c r="U24" s="209"/>
      <c r="V24" s="209"/>
      <c r="W24" s="209"/>
      <c r="X24" s="209"/>
      <c r="Y24" s="209"/>
      <c r="Z24" s="209"/>
      <c r="AA24" s="209"/>
      <c r="AB24" s="209"/>
      <c r="AC24" s="209"/>
      <c r="AD24" s="209"/>
      <c r="AE24" s="209"/>
      <c r="AF24" s="209"/>
      <c r="AG24" s="209"/>
      <c r="AH24" s="209"/>
      <c r="AI24" s="209"/>
      <c r="AJ24" s="209"/>
      <c r="AK24" s="209"/>
      <c r="AL24" s="209"/>
      <c r="AM24" s="209"/>
      <c r="AN24" s="209"/>
      <c r="AO24" s="209"/>
      <c r="AP24" s="209"/>
      <c r="AQ24" s="209"/>
      <c r="AR24" s="209"/>
      <c r="AS24" s="209"/>
      <c r="AT24" s="209"/>
      <c r="AU24" s="209"/>
      <c r="AV24" s="209"/>
      <c r="AW24" s="209"/>
      <c r="AX24" s="209"/>
      <c r="AY24" s="209"/>
      <c r="AZ24" s="209"/>
      <c r="BA24" s="209"/>
      <c r="BB24" s="209"/>
      <c r="BC24" s="209"/>
      <c r="BD24" s="209"/>
      <c r="BE24" s="209"/>
      <c r="BF24" s="209"/>
      <c r="BG24" s="209"/>
      <c r="BH24" s="209"/>
      <c r="BI24" s="209"/>
      <c r="BJ24" s="209"/>
      <c r="BK24" s="209"/>
      <c r="BL24" s="209"/>
      <c r="BM24" s="209"/>
      <c r="BN24" s="209"/>
      <c r="BO24" s="209"/>
      <c r="BP24" s="209"/>
      <c r="BQ24" s="209"/>
      <c r="BR24" s="209"/>
      <c r="BS24" s="209"/>
      <c r="BT24" s="209"/>
      <c r="BU24" s="209"/>
      <c r="BV24" s="209"/>
      <c r="BW24" s="209"/>
      <c r="BX24" s="209"/>
      <c r="BY24" s="209"/>
      <c r="BZ24" s="209"/>
      <c r="CA24" s="209"/>
      <c r="CB24" s="209"/>
      <c r="CC24" s="209"/>
      <c r="CD24" s="209"/>
      <c r="CE24" s="209"/>
      <c r="CF24" s="209"/>
      <c r="CG24" s="209"/>
      <c r="CH24" s="209"/>
      <c r="CI24" s="209"/>
      <c r="CJ24" s="209"/>
      <c r="CK24" s="209"/>
      <c r="CL24" s="209"/>
      <c r="CM24" s="209"/>
      <c r="CN24" s="209"/>
      <c r="CO24" s="209"/>
      <c r="CP24" s="209"/>
      <c r="CQ24" s="209"/>
      <c r="CR24" s="209"/>
      <c r="CS24" s="209"/>
      <c r="CT24" s="209"/>
      <c r="CU24" s="209"/>
      <c r="CV24" s="209"/>
      <c r="CW24" s="209"/>
      <c r="CX24" s="209"/>
      <c r="CY24" s="209"/>
      <c r="CZ24" s="209"/>
      <c r="DA24" s="209"/>
    </row>
    <row r="25" spans="1:105">
      <c r="A25" s="201" t="str">
        <f>Income!A72</f>
        <v>Own crops Consumed</v>
      </c>
      <c r="B25" s="203">
        <f>Income!B72</f>
        <v>1471.2865959745848</v>
      </c>
      <c r="C25" s="203">
        <f>Income!C72</f>
        <v>4042.401206537601</v>
      </c>
      <c r="D25" s="203">
        <f>Income!D72</f>
        <v>3726.3812702696764</v>
      </c>
      <c r="E25" s="203">
        <f>Income!E72</f>
        <v>2609.8430257697223</v>
      </c>
      <c r="F25" s="210">
        <f>IF(F$22&lt;=$E$24,IF(F$22&lt;=$D$24,IF(F$22&lt;=$C$24,IF(F$22&lt;=$B$24,$B25,$B25+(F$22-$B$24)*($C25-$B25)/($C$24-$B$24)),$C25+(F$22-$C$24)*($D25-$C25)/($D$24-$C$24)),$D25+(F$22-$D$24)*($E25-$D25)/($E$24-$D$24)),$E25)</f>
        <v>1471.2865959745848</v>
      </c>
      <c r="G25" s="210">
        <f t="shared" ref="F25:U37" si="16">IF(G$22&lt;=$E$24,IF(G$22&lt;=$D$24,IF(G$22&lt;=$C$24,IF(G$22&lt;=$B$24,$B25,$B25+(G$22-$B$24)*($C25-$B25)/($C$24-$B$24)),$C25+(G$22-$C$24)*($D25-$C25)/($D$24-$C$24)),$D25+(G$22-$D$24)*($E25-$D25)/($E$24-$D$24)),$E25)</f>
        <v>1471.2865959745848</v>
      </c>
      <c r="H25" s="210">
        <f t="shared" si="16"/>
        <v>1471.2865959745848</v>
      </c>
      <c r="I25" s="210">
        <f t="shared" si="16"/>
        <v>1471.2865959745848</v>
      </c>
      <c r="J25" s="210">
        <f t="shared" si="16"/>
        <v>1471.2865959745848</v>
      </c>
      <c r="K25" s="210">
        <f t="shared" si="16"/>
        <v>1471.2865959745848</v>
      </c>
      <c r="L25" s="210">
        <f t="shared" si="16"/>
        <v>1471.2865959745848</v>
      </c>
      <c r="M25" s="210">
        <f t="shared" si="16"/>
        <v>1471.2865959745848</v>
      </c>
      <c r="N25" s="210">
        <f t="shared" si="16"/>
        <v>1471.2865959745848</v>
      </c>
      <c r="O25" s="210">
        <f t="shared" si="16"/>
        <v>1471.2865959745848</v>
      </c>
      <c r="P25" s="210">
        <f t="shared" ref="P25:AE37" si="17">IF(P$22&lt;=$E$24,IF(P$22&lt;=$D$24,IF(P$22&lt;=$C$24,IF(P$22&lt;=$B$24,$B25,$B25+(P$22-$B$24)*($C25-$B25)/($C$24-$B$24)),$C25+(P$22-$C$24)*($D25-$C25)/($D$24-$C$24)),$D25+(P$22-$D$24)*($E25-$D25)/($E$24-$D$24)),$E25)</f>
        <v>1471.2865959745848</v>
      </c>
      <c r="Q25" s="210">
        <f t="shared" si="17"/>
        <v>1471.2865959745848</v>
      </c>
      <c r="R25" s="210">
        <f t="shared" si="17"/>
        <v>1471.2865959745848</v>
      </c>
      <c r="S25" s="210">
        <f>IF(S$22&lt;=$E$24,IF(S$22&lt;=$D$24,IF(S$22&lt;=$C$24,IF(S$22&lt;=$B$24,$B25,$B25+(S$22-$B$24)*($C25-$B25)/($C$24-$B$24)),$C25+(S$22-$C$24)*($D25-$C25)/($D$24-$C$24)),$D25+(S$22-$D$24)*($E25-$D25)/($E$24-$D$24)),$E25)</f>
        <v>1471.2865959745848</v>
      </c>
      <c r="T25" s="210">
        <f t="shared" si="17"/>
        <v>1471.2865959745848</v>
      </c>
      <c r="U25" s="210">
        <f t="shared" si="17"/>
        <v>1471.2865959745848</v>
      </c>
      <c r="V25" s="210">
        <f t="shared" si="17"/>
        <v>1471.2865959745848</v>
      </c>
      <c r="W25" s="210">
        <f t="shared" si="17"/>
        <v>1471.2865959745848</v>
      </c>
      <c r="X25" s="210">
        <f t="shared" si="17"/>
        <v>1471.2865959745848</v>
      </c>
      <c r="Y25" s="210">
        <f t="shared" si="17"/>
        <v>1471.2865959745848</v>
      </c>
      <c r="Z25" s="210">
        <f t="shared" ref="Z25:AO37" si="18">IF(Z$22&lt;=$E$24,IF(Z$22&lt;=$D$24,IF(Z$22&lt;=$C$24,IF(Z$22&lt;=$B$24,$B25,$B25+(Z$22-$B$24)*($C25-$B25)/($C$24-$B$24)),$C25+(Z$22-$C$24)*($D25-$C25)/($D$24-$C$24)),$D25+(Z$22-$D$24)*($E25-$D25)/($E$24-$D$24)),$E25)</f>
        <v>1471.2865959745848</v>
      </c>
      <c r="AA25" s="210">
        <f t="shared" si="18"/>
        <v>1471.2865959745848</v>
      </c>
      <c r="AB25" s="210">
        <f t="shared" si="18"/>
        <v>1471.2865959745848</v>
      </c>
      <c r="AC25" s="210">
        <f t="shared" si="18"/>
        <v>1471.2865959745848</v>
      </c>
      <c r="AD25" s="210">
        <f t="shared" si="18"/>
        <v>1471.2865959745848</v>
      </c>
      <c r="AE25" s="210">
        <f t="shared" si="18"/>
        <v>1471.2865959745848</v>
      </c>
      <c r="AF25" s="210">
        <f t="shared" si="18"/>
        <v>1539.8496522562652</v>
      </c>
      <c r="AG25" s="210">
        <f t="shared" si="18"/>
        <v>1608.4127085379457</v>
      </c>
      <c r="AH25" s="210">
        <f t="shared" si="18"/>
        <v>1676.975764819626</v>
      </c>
      <c r="AI25" s="210">
        <f t="shared" si="18"/>
        <v>1745.5388211013064</v>
      </c>
      <c r="AJ25" s="210">
        <f t="shared" ref="AJ25:AY37" si="19">IF(AJ$22&lt;=$E$24,IF(AJ$22&lt;=$D$24,IF(AJ$22&lt;=$C$24,IF(AJ$22&lt;=$B$24,$B25,$B25+(AJ$22-$B$24)*($C25-$B25)/($C$24-$B$24)),$C25+(AJ$22-$C$24)*($D25-$C25)/($D$24-$C$24)),$D25+(AJ$22-$D$24)*($E25-$D25)/($E$24-$D$24)),$E25)</f>
        <v>1814.1018773829869</v>
      </c>
      <c r="AK25" s="210">
        <f t="shared" si="19"/>
        <v>1882.6649336646674</v>
      </c>
      <c r="AL25" s="210">
        <f t="shared" si="19"/>
        <v>1951.2279899463476</v>
      </c>
      <c r="AM25" s="210">
        <f t="shared" si="19"/>
        <v>2019.7910462280283</v>
      </c>
      <c r="AN25" s="210">
        <f t="shared" si="19"/>
        <v>2088.3541025097088</v>
      </c>
      <c r="AO25" s="210">
        <f t="shared" si="19"/>
        <v>2156.9171587913888</v>
      </c>
      <c r="AP25" s="210">
        <f t="shared" si="19"/>
        <v>2225.4802150730693</v>
      </c>
      <c r="AQ25" s="210">
        <f t="shared" si="19"/>
        <v>2294.0432713547498</v>
      </c>
      <c r="AR25" s="210">
        <f t="shared" si="19"/>
        <v>2362.6063276364303</v>
      </c>
      <c r="AS25" s="210">
        <f t="shared" si="19"/>
        <v>2431.1693839181107</v>
      </c>
      <c r="AT25" s="210">
        <f t="shared" ref="AT25:BI37" si="20">IF(AT$22&lt;=$E$24,IF(AT$22&lt;=$D$24,IF(AT$22&lt;=$C$24,IF(AT$22&lt;=$B$24,$B25,$B25+(AT$22-$B$24)*($C25-$B25)/($C$24-$B$24)),$C25+(AT$22-$C$24)*($D25-$C25)/($D$24-$C$24)),$D25+(AT$22-$D$24)*($E25-$D25)/($E$24-$D$24)),$E25)</f>
        <v>2499.7324401997912</v>
      </c>
      <c r="AU25" s="210">
        <f t="shared" si="20"/>
        <v>2568.2954964814717</v>
      </c>
      <c r="AV25" s="210">
        <f t="shared" si="20"/>
        <v>2636.8585527631521</v>
      </c>
      <c r="AW25" s="210">
        <f t="shared" si="20"/>
        <v>2705.4216090448326</v>
      </c>
      <c r="AX25" s="210">
        <f t="shared" si="20"/>
        <v>2773.9846653265131</v>
      </c>
      <c r="AY25" s="210">
        <f t="shared" si="20"/>
        <v>2842.5477216081936</v>
      </c>
      <c r="AZ25" s="210">
        <f t="shared" si="20"/>
        <v>2911.110777889874</v>
      </c>
      <c r="BA25" s="210">
        <f t="shared" si="20"/>
        <v>2979.6738341715541</v>
      </c>
      <c r="BB25" s="210">
        <f t="shared" si="20"/>
        <v>3048.2368904532345</v>
      </c>
      <c r="BC25" s="210">
        <f t="shared" si="20"/>
        <v>3116.799946734915</v>
      </c>
      <c r="BD25" s="210">
        <f t="shared" ref="BD25:BS37" si="21">IF(BD$22&lt;=$E$24,IF(BD$22&lt;=$D$24,IF(BD$22&lt;=$C$24,IF(BD$22&lt;=$B$24,$B25,$B25+(BD$22-$B$24)*($C25-$B25)/($C$24-$B$24)),$C25+(BD$22-$C$24)*($D25-$C25)/($D$24-$C$24)),$D25+(BD$22-$D$24)*($E25-$D25)/($E$24-$D$24)),$E25)</f>
        <v>3185.3630030165955</v>
      </c>
      <c r="BE25" s="210">
        <f t="shared" si="21"/>
        <v>3253.926059298276</v>
      </c>
      <c r="BF25" s="210">
        <f t="shared" si="21"/>
        <v>3322.4891155799564</v>
      </c>
      <c r="BG25" s="210">
        <f t="shared" si="21"/>
        <v>3391.0521718616365</v>
      </c>
      <c r="BH25" s="210">
        <f t="shared" si="21"/>
        <v>3459.6152281433169</v>
      </c>
      <c r="BI25" s="210">
        <f t="shared" si="21"/>
        <v>3528.1782844249974</v>
      </c>
      <c r="BJ25" s="210">
        <f t="shared" si="21"/>
        <v>3596.7413407066779</v>
      </c>
      <c r="BK25" s="210">
        <f t="shared" si="21"/>
        <v>3665.3043969883583</v>
      </c>
      <c r="BL25" s="210">
        <f t="shared" si="21"/>
        <v>3733.8674532700388</v>
      </c>
      <c r="BM25" s="210">
        <f t="shared" si="21"/>
        <v>3802.4305095517193</v>
      </c>
      <c r="BN25" s="210">
        <f t="shared" ref="BN25:CC37" si="22">IF(BN$22&lt;=$E$24,IF(BN$22&lt;=$D$24,IF(BN$22&lt;=$C$24,IF(BN$22&lt;=$B$24,$B25,$B25+(BN$22-$B$24)*($C25-$B25)/($C$24-$B$24)),$C25+(BN$22-$C$24)*($D25-$C25)/($D$24-$C$24)),$D25+(BN$22-$D$24)*($E25-$D25)/($E$24-$D$24)),$E25)</f>
        <v>3870.9935658333998</v>
      </c>
      <c r="BO25" s="210">
        <f t="shared" si="22"/>
        <v>3939.5566221150802</v>
      </c>
      <c r="BP25" s="210">
        <f t="shared" si="22"/>
        <v>4008.1196783967607</v>
      </c>
      <c r="BQ25" s="210">
        <f t="shared" si="22"/>
        <v>4034.5007081309027</v>
      </c>
      <c r="BR25" s="210">
        <f t="shared" si="22"/>
        <v>4018.6997113175066</v>
      </c>
      <c r="BS25" s="210">
        <f t="shared" si="22"/>
        <v>4002.8987145041106</v>
      </c>
      <c r="BT25" s="210">
        <f t="shared" si="22"/>
        <v>3987.097717690714</v>
      </c>
      <c r="BU25" s="210">
        <f t="shared" si="22"/>
        <v>3971.296720877318</v>
      </c>
      <c r="BV25" s="210">
        <f t="shared" si="22"/>
        <v>3955.4957240639219</v>
      </c>
      <c r="BW25" s="210">
        <f t="shared" si="22"/>
        <v>3939.6947272505254</v>
      </c>
      <c r="BX25" s="210">
        <f t="shared" ref="BX25:CM37" si="23">IF(BX$22&lt;=$E$24,IF(BX$22&lt;=$D$24,IF(BX$22&lt;=$C$24,IF(BX$22&lt;=$B$24,$B25,$B25+(BX$22-$B$24)*($C25-$B25)/($C$24-$B$24)),$C25+(BX$22-$C$24)*($D25-$C25)/($D$24-$C$24)),$D25+(BX$22-$D$24)*($E25-$D25)/($E$24-$D$24)),$E25)</f>
        <v>3923.8937304371293</v>
      </c>
      <c r="BY25" s="210">
        <f t="shared" si="23"/>
        <v>3908.0927336237328</v>
      </c>
      <c r="BZ25" s="210">
        <f t="shared" si="23"/>
        <v>3892.2917368103367</v>
      </c>
      <c r="CA25" s="210">
        <f t="shared" si="23"/>
        <v>3876.4907399969406</v>
      </c>
      <c r="CB25" s="210">
        <f t="shared" si="23"/>
        <v>3860.6897431835441</v>
      </c>
      <c r="CC25" s="210">
        <f t="shared" si="23"/>
        <v>3844.8887463701481</v>
      </c>
      <c r="CD25" s="210">
        <f t="shared" si="23"/>
        <v>3829.087749556752</v>
      </c>
      <c r="CE25" s="210">
        <f t="shared" si="23"/>
        <v>3813.2867527433555</v>
      </c>
      <c r="CF25" s="210">
        <f t="shared" si="23"/>
        <v>3797.4857559299594</v>
      </c>
      <c r="CG25" s="210">
        <f t="shared" si="23"/>
        <v>3781.6847591165633</v>
      </c>
      <c r="CH25" s="210">
        <f t="shared" ref="CH25:CW37" si="24">IF(CH$22&lt;=$E$24,IF(CH$22&lt;=$D$24,IF(CH$22&lt;=$C$24,IF(CH$22&lt;=$B$24,$B25,$B25+(CH$22-$B$24)*($C25-$B25)/($C$24-$B$24)),$C25+(CH$22-$C$24)*($D25-$C25)/($D$24-$C$24)),$D25+(CH$22-$D$24)*($E25-$D25)/($E$24-$D$24)),$E25)</f>
        <v>3765.8837623031668</v>
      </c>
      <c r="CI25" s="210">
        <f t="shared" si="24"/>
        <v>3750.0827654897707</v>
      </c>
      <c r="CJ25" s="210">
        <f t="shared" si="24"/>
        <v>3734.2817686763747</v>
      </c>
      <c r="CK25" s="210">
        <f t="shared" si="24"/>
        <v>3681.7197404896783</v>
      </c>
      <c r="CL25" s="210">
        <f t="shared" si="24"/>
        <v>3592.3966809296817</v>
      </c>
      <c r="CM25" s="210">
        <f t="shared" si="24"/>
        <v>3503.0736213696855</v>
      </c>
      <c r="CN25" s="210">
        <f t="shared" si="24"/>
        <v>3413.7505618096893</v>
      </c>
      <c r="CO25" s="210">
        <f t="shared" si="24"/>
        <v>3324.4275022496931</v>
      </c>
      <c r="CP25" s="210">
        <f t="shared" si="24"/>
        <v>3235.1044426896965</v>
      </c>
      <c r="CQ25" s="210">
        <f t="shared" si="24"/>
        <v>3145.7813831297003</v>
      </c>
      <c r="CR25" s="210">
        <f t="shared" ref="CR25:DA37" si="25">IF(CR$22&lt;=$E$24,IF(CR$22&lt;=$D$24,IF(CR$22&lt;=$C$24,IF(CR$22&lt;=$B$24,$B25,$B25+(CR$22-$B$24)*($C25-$B25)/($C$24-$B$24)),$C25+(CR$22-$C$24)*($D25-$C25)/($D$24-$C$24)),$D25+(CR$22-$D$24)*($E25-$D25)/($E$24-$D$24)),$E25)</f>
        <v>3056.4583235697041</v>
      </c>
      <c r="CS25" s="210">
        <f t="shared" si="25"/>
        <v>2967.1352640097075</v>
      </c>
      <c r="CT25" s="210">
        <f t="shared" si="25"/>
        <v>2877.8122044497113</v>
      </c>
      <c r="CU25" s="210">
        <f t="shared" si="25"/>
        <v>2788.4891448897151</v>
      </c>
      <c r="CV25" s="210">
        <f t="shared" si="25"/>
        <v>2699.166085329719</v>
      </c>
      <c r="CW25" s="210">
        <f t="shared" si="25"/>
        <v>2609.8430257697223</v>
      </c>
      <c r="CX25" s="210">
        <f t="shared" si="25"/>
        <v>2609.8430257697223</v>
      </c>
      <c r="CY25" s="210">
        <f t="shared" si="25"/>
        <v>2609.8430257697223</v>
      </c>
      <c r="CZ25" s="210">
        <f t="shared" si="25"/>
        <v>2609.8430257697223</v>
      </c>
      <c r="DA25" s="210">
        <f t="shared" si="25"/>
        <v>2609.8430257697223</v>
      </c>
    </row>
    <row r="26" spans="1:105">
      <c r="A26" s="201" t="str">
        <f>Income!A73</f>
        <v>Own crops sold</v>
      </c>
      <c r="B26" s="203">
        <f>Income!B73</f>
        <v>0</v>
      </c>
      <c r="C26" s="203">
        <f>Income!C73</f>
        <v>2481.4068502938544</v>
      </c>
      <c r="D26" s="203">
        <f>Income!D73</f>
        <v>37840.38673597858</v>
      </c>
      <c r="E26" s="203">
        <f>Income!E73</f>
        <v>14996.068386836114</v>
      </c>
      <c r="F26" s="210">
        <f t="shared" si="16"/>
        <v>0</v>
      </c>
      <c r="G26" s="210">
        <f t="shared" si="16"/>
        <v>0</v>
      </c>
      <c r="H26" s="210">
        <f t="shared" si="16"/>
        <v>0</v>
      </c>
      <c r="I26" s="210">
        <f t="shared" si="16"/>
        <v>0</v>
      </c>
      <c r="J26" s="210">
        <f t="shared" si="16"/>
        <v>0</v>
      </c>
      <c r="K26" s="210">
        <f t="shared" si="16"/>
        <v>0</v>
      </c>
      <c r="L26" s="210">
        <f t="shared" si="16"/>
        <v>0</v>
      </c>
      <c r="M26" s="210">
        <f t="shared" si="16"/>
        <v>0</v>
      </c>
      <c r="N26" s="210">
        <f t="shared" si="16"/>
        <v>0</v>
      </c>
      <c r="O26" s="210">
        <f t="shared" si="16"/>
        <v>0</v>
      </c>
      <c r="P26" s="210">
        <f t="shared" si="17"/>
        <v>0</v>
      </c>
      <c r="Q26" s="210">
        <f t="shared" si="17"/>
        <v>0</v>
      </c>
      <c r="R26" s="210">
        <f t="shared" si="17"/>
        <v>0</v>
      </c>
      <c r="S26" s="210">
        <f t="shared" si="17"/>
        <v>0</v>
      </c>
      <c r="T26" s="210">
        <f t="shared" si="17"/>
        <v>0</v>
      </c>
      <c r="U26" s="210">
        <f t="shared" si="17"/>
        <v>0</v>
      </c>
      <c r="V26" s="210">
        <f t="shared" si="17"/>
        <v>0</v>
      </c>
      <c r="W26" s="210">
        <f t="shared" si="17"/>
        <v>0</v>
      </c>
      <c r="X26" s="210">
        <f t="shared" si="17"/>
        <v>0</v>
      </c>
      <c r="Y26" s="210">
        <f t="shared" si="17"/>
        <v>0</v>
      </c>
      <c r="Z26" s="210">
        <f t="shared" si="18"/>
        <v>0</v>
      </c>
      <c r="AA26" s="210">
        <f t="shared" si="18"/>
        <v>0</v>
      </c>
      <c r="AB26" s="210">
        <f t="shared" si="18"/>
        <v>0</v>
      </c>
      <c r="AC26" s="210">
        <f t="shared" si="18"/>
        <v>0</v>
      </c>
      <c r="AD26" s="210">
        <f t="shared" si="18"/>
        <v>0</v>
      </c>
      <c r="AE26" s="210">
        <f t="shared" si="18"/>
        <v>0</v>
      </c>
      <c r="AF26" s="210">
        <f t="shared" si="18"/>
        <v>66.170849341169458</v>
      </c>
      <c r="AG26" s="210">
        <f t="shared" si="18"/>
        <v>132.34169868233892</v>
      </c>
      <c r="AH26" s="210">
        <f t="shared" si="18"/>
        <v>198.51254802350834</v>
      </c>
      <c r="AI26" s="210">
        <f t="shared" si="18"/>
        <v>264.68339736467783</v>
      </c>
      <c r="AJ26" s="210">
        <f t="shared" si="19"/>
        <v>330.85424670584723</v>
      </c>
      <c r="AK26" s="210">
        <f t="shared" si="19"/>
        <v>397.02509604701669</v>
      </c>
      <c r="AL26" s="210">
        <f t="shared" si="19"/>
        <v>463.1959453881862</v>
      </c>
      <c r="AM26" s="210">
        <f t="shared" si="19"/>
        <v>529.36679472935566</v>
      </c>
      <c r="AN26" s="210">
        <f t="shared" si="19"/>
        <v>595.53764407052506</v>
      </c>
      <c r="AO26" s="210">
        <f t="shared" si="19"/>
        <v>661.70849341169446</v>
      </c>
      <c r="AP26" s="210">
        <f t="shared" si="19"/>
        <v>727.87934275286398</v>
      </c>
      <c r="AQ26" s="210">
        <f t="shared" si="19"/>
        <v>794.05019209403338</v>
      </c>
      <c r="AR26" s="210">
        <f t="shared" si="19"/>
        <v>860.22104143520289</v>
      </c>
      <c r="AS26" s="210">
        <f t="shared" si="19"/>
        <v>926.39189077637241</v>
      </c>
      <c r="AT26" s="210">
        <f t="shared" si="20"/>
        <v>992.56274011754181</v>
      </c>
      <c r="AU26" s="210">
        <f t="shared" si="20"/>
        <v>1058.7335894587113</v>
      </c>
      <c r="AV26" s="210">
        <f t="shared" si="20"/>
        <v>1124.9044387998806</v>
      </c>
      <c r="AW26" s="210">
        <f t="shared" si="20"/>
        <v>1191.0752881410501</v>
      </c>
      <c r="AX26" s="210">
        <f t="shared" si="20"/>
        <v>1257.2461374822194</v>
      </c>
      <c r="AY26" s="210">
        <f t="shared" si="20"/>
        <v>1323.4169868233889</v>
      </c>
      <c r="AZ26" s="210">
        <f t="shared" si="20"/>
        <v>1389.5878361645584</v>
      </c>
      <c r="BA26" s="210">
        <f t="shared" si="20"/>
        <v>1455.758685505728</v>
      </c>
      <c r="BB26" s="210">
        <f t="shared" si="20"/>
        <v>1521.9295348468975</v>
      </c>
      <c r="BC26" s="210">
        <f t="shared" si="20"/>
        <v>1588.1003841880668</v>
      </c>
      <c r="BD26" s="210">
        <f t="shared" si="21"/>
        <v>1654.2712335292363</v>
      </c>
      <c r="BE26" s="210">
        <f t="shared" si="21"/>
        <v>1720.4420828704058</v>
      </c>
      <c r="BF26" s="210">
        <f t="shared" si="21"/>
        <v>1786.6129322115751</v>
      </c>
      <c r="BG26" s="210">
        <f t="shared" si="21"/>
        <v>1852.7837815527448</v>
      </c>
      <c r="BH26" s="210">
        <f t="shared" si="21"/>
        <v>1918.9546308939139</v>
      </c>
      <c r="BI26" s="210">
        <f t="shared" si="21"/>
        <v>1985.1254802350836</v>
      </c>
      <c r="BJ26" s="210">
        <f t="shared" si="21"/>
        <v>2051.2963295762529</v>
      </c>
      <c r="BK26" s="210">
        <f t="shared" si="21"/>
        <v>2117.4671789174226</v>
      </c>
      <c r="BL26" s="210">
        <f t="shared" si="21"/>
        <v>2183.6380282585919</v>
      </c>
      <c r="BM26" s="210">
        <f t="shared" si="21"/>
        <v>2249.8088775997612</v>
      </c>
      <c r="BN26" s="210">
        <f t="shared" si="22"/>
        <v>2315.979726940931</v>
      </c>
      <c r="BO26" s="210">
        <f t="shared" si="22"/>
        <v>2382.1505762821002</v>
      </c>
      <c r="BP26" s="210">
        <f t="shared" si="22"/>
        <v>2448.3214256232695</v>
      </c>
      <c r="BQ26" s="210">
        <f t="shared" si="22"/>
        <v>3365.3813474359727</v>
      </c>
      <c r="BR26" s="210">
        <f t="shared" si="22"/>
        <v>5133.3303417202087</v>
      </c>
      <c r="BS26" s="210">
        <f t="shared" si="22"/>
        <v>6901.2793360044452</v>
      </c>
      <c r="BT26" s="210">
        <f t="shared" si="22"/>
        <v>8669.2283302886826</v>
      </c>
      <c r="BU26" s="210">
        <f t="shared" si="22"/>
        <v>10437.177324572918</v>
      </c>
      <c r="BV26" s="210">
        <f t="shared" si="22"/>
        <v>12205.126318857154</v>
      </c>
      <c r="BW26" s="210">
        <f t="shared" si="22"/>
        <v>13973.075313141391</v>
      </c>
      <c r="BX26" s="210">
        <f t="shared" si="23"/>
        <v>15741.024307425629</v>
      </c>
      <c r="BY26" s="210">
        <f t="shared" si="23"/>
        <v>17508.973301709862</v>
      </c>
      <c r="BZ26" s="210">
        <f t="shared" si="23"/>
        <v>19276.922295994096</v>
      </c>
      <c r="CA26" s="210">
        <f t="shared" si="23"/>
        <v>21044.871290278334</v>
      </c>
      <c r="CB26" s="210">
        <f t="shared" si="23"/>
        <v>22812.820284562571</v>
      </c>
      <c r="CC26" s="210">
        <f t="shared" si="23"/>
        <v>24580.769278846808</v>
      </c>
      <c r="CD26" s="210">
        <f t="shared" si="23"/>
        <v>26348.718273131046</v>
      </c>
      <c r="CE26" s="210">
        <f t="shared" si="23"/>
        <v>28116.66726741528</v>
      </c>
      <c r="CF26" s="210">
        <f t="shared" si="23"/>
        <v>29884.616261699513</v>
      </c>
      <c r="CG26" s="210">
        <f t="shared" si="23"/>
        <v>31652.565255983754</v>
      </c>
      <c r="CH26" s="210">
        <f t="shared" si="24"/>
        <v>33420.514250267988</v>
      </c>
      <c r="CI26" s="210">
        <f t="shared" si="24"/>
        <v>35188.463244552229</v>
      </c>
      <c r="CJ26" s="210">
        <f t="shared" si="24"/>
        <v>36956.412238836463</v>
      </c>
      <c r="CK26" s="210">
        <f t="shared" si="24"/>
        <v>36926.614002012881</v>
      </c>
      <c r="CL26" s="210">
        <f t="shared" si="24"/>
        <v>35099.068534081482</v>
      </c>
      <c r="CM26" s="210">
        <f t="shared" si="24"/>
        <v>33271.523066150083</v>
      </c>
      <c r="CN26" s="210">
        <f t="shared" si="24"/>
        <v>31443.977598218691</v>
      </c>
      <c r="CO26" s="210">
        <f t="shared" si="24"/>
        <v>29616.432130287292</v>
      </c>
      <c r="CP26" s="210">
        <f t="shared" si="24"/>
        <v>27788.886662355893</v>
      </c>
      <c r="CQ26" s="210">
        <f t="shared" si="24"/>
        <v>25961.341194424498</v>
      </c>
      <c r="CR26" s="210">
        <f t="shared" si="25"/>
        <v>24133.795726493103</v>
      </c>
      <c r="CS26" s="210">
        <f t="shared" si="25"/>
        <v>22306.250258561704</v>
      </c>
      <c r="CT26" s="210">
        <f t="shared" si="25"/>
        <v>20478.704790630309</v>
      </c>
      <c r="CU26" s="210">
        <f t="shared" si="25"/>
        <v>18651.15932269891</v>
      </c>
      <c r="CV26" s="210">
        <f t="shared" si="25"/>
        <v>16823.613854767515</v>
      </c>
      <c r="CW26" s="210">
        <f t="shared" si="25"/>
        <v>14996.068386836116</v>
      </c>
      <c r="CX26" s="210">
        <f t="shared" si="25"/>
        <v>14996.068386836114</v>
      </c>
      <c r="CY26" s="210">
        <f t="shared" si="25"/>
        <v>14996.068386836114</v>
      </c>
      <c r="CZ26" s="210">
        <f t="shared" si="25"/>
        <v>14996.068386836114</v>
      </c>
      <c r="DA26" s="210">
        <f t="shared" si="25"/>
        <v>14996.068386836114</v>
      </c>
    </row>
    <row r="27" spans="1:105">
      <c r="A27" s="201" t="str">
        <f>Income!A74</f>
        <v>Animal products consumed</v>
      </c>
      <c r="B27" s="203">
        <f>Income!B74</f>
        <v>178.16053949785783</v>
      </c>
      <c r="C27" s="203">
        <f>Income!C74</f>
        <v>852.70031370716697</v>
      </c>
      <c r="D27" s="203">
        <f>Income!D74</f>
        <v>2475.9718923349787</v>
      </c>
      <c r="E27" s="203">
        <f>Income!E74</f>
        <v>3037.7832928629437</v>
      </c>
      <c r="F27" s="210">
        <f t="shared" si="16"/>
        <v>178.16053949785783</v>
      </c>
      <c r="G27" s="210">
        <f t="shared" si="16"/>
        <v>178.16053949785783</v>
      </c>
      <c r="H27" s="210">
        <f t="shared" si="16"/>
        <v>178.16053949785783</v>
      </c>
      <c r="I27" s="210">
        <f t="shared" si="16"/>
        <v>178.16053949785783</v>
      </c>
      <c r="J27" s="210">
        <f t="shared" si="16"/>
        <v>178.16053949785783</v>
      </c>
      <c r="K27" s="210">
        <f t="shared" si="16"/>
        <v>178.16053949785783</v>
      </c>
      <c r="L27" s="210">
        <f t="shared" si="16"/>
        <v>178.16053949785783</v>
      </c>
      <c r="M27" s="210">
        <f t="shared" si="16"/>
        <v>178.16053949785783</v>
      </c>
      <c r="N27" s="210">
        <f t="shared" si="16"/>
        <v>178.16053949785783</v>
      </c>
      <c r="O27" s="210">
        <f t="shared" si="16"/>
        <v>178.16053949785783</v>
      </c>
      <c r="P27" s="210">
        <f t="shared" si="17"/>
        <v>178.16053949785783</v>
      </c>
      <c r="Q27" s="210">
        <f t="shared" si="17"/>
        <v>178.16053949785783</v>
      </c>
      <c r="R27" s="210">
        <f t="shared" si="17"/>
        <v>178.16053949785783</v>
      </c>
      <c r="S27" s="210">
        <f t="shared" si="17"/>
        <v>178.16053949785783</v>
      </c>
      <c r="T27" s="210">
        <f t="shared" si="17"/>
        <v>178.16053949785783</v>
      </c>
      <c r="U27" s="210">
        <f t="shared" si="17"/>
        <v>178.16053949785783</v>
      </c>
      <c r="V27" s="210">
        <f t="shared" si="17"/>
        <v>178.16053949785783</v>
      </c>
      <c r="W27" s="210">
        <f t="shared" si="17"/>
        <v>178.16053949785783</v>
      </c>
      <c r="X27" s="210">
        <f t="shared" si="17"/>
        <v>178.16053949785783</v>
      </c>
      <c r="Y27" s="210">
        <f t="shared" si="17"/>
        <v>178.16053949785783</v>
      </c>
      <c r="Z27" s="210">
        <f t="shared" si="18"/>
        <v>178.16053949785783</v>
      </c>
      <c r="AA27" s="210">
        <f t="shared" si="18"/>
        <v>178.16053949785783</v>
      </c>
      <c r="AB27" s="210">
        <f t="shared" si="18"/>
        <v>178.16053949785783</v>
      </c>
      <c r="AC27" s="210">
        <f t="shared" si="18"/>
        <v>178.16053949785783</v>
      </c>
      <c r="AD27" s="210">
        <f t="shared" si="18"/>
        <v>178.16053949785783</v>
      </c>
      <c r="AE27" s="210">
        <f t="shared" si="18"/>
        <v>178.16053949785783</v>
      </c>
      <c r="AF27" s="210">
        <f t="shared" si="18"/>
        <v>196.14826681010607</v>
      </c>
      <c r="AG27" s="210">
        <f t="shared" si="18"/>
        <v>214.1359941223543</v>
      </c>
      <c r="AH27" s="210">
        <f t="shared" si="18"/>
        <v>232.12372143460254</v>
      </c>
      <c r="AI27" s="210">
        <f t="shared" si="18"/>
        <v>250.11144874685078</v>
      </c>
      <c r="AJ27" s="210">
        <f t="shared" si="19"/>
        <v>268.09917605909902</v>
      </c>
      <c r="AK27" s="210">
        <f t="shared" si="19"/>
        <v>286.08690337134726</v>
      </c>
      <c r="AL27" s="210">
        <f t="shared" si="19"/>
        <v>304.0746306835955</v>
      </c>
      <c r="AM27" s="210">
        <f t="shared" si="19"/>
        <v>322.06235799584374</v>
      </c>
      <c r="AN27" s="210">
        <f t="shared" si="19"/>
        <v>340.05008530809198</v>
      </c>
      <c r="AO27" s="210">
        <f t="shared" si="19"/>
        <v>358.03781262034028</v>
      </c>
      <c r="AP27" s="210">
        <f t="shared" si="19"/>
        <v>376.02553993258852</v>
      </c>
      <c r="AQ27" s="210">
        <f t="shared" si="19"/>
        <v>394.01326724483675</v>
      </c>
      <c r="AR27" s="210">
        <f t="shared" si="19"/>
        <v>412.00099455708494</v>
      </c>
      <c r="AS27" s="210">
        <f t="shared" si="19"/>
        <v>429.98872186933323</v>
      </c>
      <c r="AT27" s="210">
        <f t="shared" si="20"/>
        <v>447.97644918158153</v>
      </c>
      <c r="AU27" s="210">
        <f t="shared" si="20"/>
        <v>465.96417649382971</v>
      </c>
      <c r="AV27" s="210">
        <f t="shared" si="20"/>
        <v>483.95190380607795</v>
      </c>
      <c r="AW27" s="210">
        <f t="shared" si="20"/>
        <v>501.93963111832619</v>
      </c>
      <c r="AX27" s="210">
        <f t="shared" si="20"/>
        <v>519.92735843057449</v>
      </c>
      <c r="AY27" s="210">
        <f t="shared" si="20"/>
        <v>537.91508574282273</v>
      </c>
      <c r="AZ27" s="210">
        <f t="shared" si="20"/>
        <v>555.90281305507096</v>
      </c>
      <c r="BA27" s="210">
        <f t="shared" si="20"/>
        <v>573.8905403673192</v>
      </c>
      <c r="BB27" s="210">
        <f t="shared" si="20"/>
        <v>591.87826767956744</v>
      </c>
      <c r="BC27" s="210">
        <f t="shared" si="20"/>
        <v>609.86599499181568</v>
      </c>
      <c r="BD27" s="210">
        <f t="shared" si="21"/>
        <v>627.85372230406392</v>
      </c>
      <c r="BE27" s="210">
        <f t="shared" si="21"/>
        <v>645.84144961631205</v>
      </c>
      <c r="BF27" s="210">
        <f t="shared" si="21"/>
        <v>663.8291769285604</v>
      </c>
      <c r="BG27" s="210">
        <f t="shared" si="21"/>
        <v>681.81690424080864</v>
      </c>
      <c r="BH27" s="210">
        <f t="shared" si="21"/>
        <v>699.80463155305688</v>
      </c>
      <c r="BI27" s="210">
        <f t="shared" si="21"/>
        <v>717.79235886530523</v>
      </c>
      <c r="BJ27" s="210">
        <f t="shared" si="21"/>
        <v>735.78008617755336</v>
      </c>
      <c r="BK27" s="210">
        <f t="shared" si="21"/>
        <v>753.7678134898016</v>
      </c>
      <c r="BL27" s="210">
        <f t="shared" si="21"/>
        <v>771.75554080204984</v>
      </c>
      <c r="BM27" s="210">
        <f t="shared" si="21"/>
        <v>789.74326811429808</v>
      </c>
      <c r="BN27" s="210">
        <f t="shared" si="22"/>
        <v>807.73099542654643</v>
      </c>
      <c r="BO27" s="210">
        <f t="shared" si="22"/>
        <v>825.71872273879455</v>
      </c>
      <c r="BP27" s="210">
        <f t="shared" si="22"/>
        <v>843.70645005104279</v>
      </c>
      <c r="BQ27" s="210">
        <f t="shared" si="22"/>
        <v>893.28210317286221</v>
      </c>
      <c r="BR27" s="210">
        <f t="shared" si="22"/>
        <v>974.44568210425291</v>
      </c>
      <c r="BS27" s="210">
        <f t="shared" si="22"/>
        <v>1055.6092610356434</v>
      </c>
      <c r="BT27" s="210">
        <f t="shared" si="22"/>
        <v>1136.7728399670341</v>
      </c>
      <c r="BU27" s="210">
        <f t="shared" si="22"/>
        <v>1217.9364188984246</v>
      </c>
      <c r="BV27" s="210">
        <f t="shared" si="22"/>
        <v>1299.0999978298153</v>
      </c>
      <c r="BW27" s="210">
        <f t="shared" si="22"/>
        <v>1380.2635767612057</v>
      </c>
      <c r="BX27" s="210">
        <f t="shared" si="23"/>
        <v>1461.4271556925964</v>
      </c>
      <c r="BY27" s="210">
        <f t="shared" si="23"/>
        <v>1542.5907346239869</v>
      </c>
      <c r="BZ27" s="210">
        <f t="shared" si="23"/>
        <v>1623.7543135553776</v>
      </c>
      <c r="CA27" s="210">
        <f t="shared" si="23"/>
        <v>1704.9178924867681</v>
      </c>
      <c r="CB27" s="210">
        <f t="shared" si="23"/>
        <v>1786.0814714181588</v>
      </c>
      <c r="CC27" s="210">
        <f t="shared" si="23"/>
        <v>1867.2450503495493</v>
      </c>
      <c r="CD27" s="210">
        <f t="shared" si="23"/>
        <v>1948.40862928094</v>
      </c>
      <c r="CE27" s="210">
        <f t="shared" si="23"/>
        <v>2029.5722082123307</v>
      </c>
      <c r="CF27" s="210">
        <f t="shared" si="23"/>
        <v>2110.7357871437212</v>
      </c>
      <c r="CG27" s="210">
        <f t="shared" si="23"/>
        <v>2191.8993660751116</v>
      </c>
      <c r="CH27" s="210">
        <f t="shared" si="24"/>
        <v>2273.0629450065021</v>
      </c>
      <c r="CI27" s="210">
        <f t="shared" si="24"/>
        <v>2354.226523937893</v>
      </c>
      <c r="CJ27" s="210">
        <f t="shared" si="24"/>
        <v>2435.3901028692835</v>
      </c>
      <c r="CK27" s="210">
        <f t="shared" si="24"/>
        <v>2498.4443483560972</v>
      </c>
      <c r="CL27" s="210">
        <f t="shared" si="24"/>
        <v>2543.3892603983345</v>
      </c>
      <c r="CM27" s="210">
        <f t="shared" si="24"/>
        <v>2588.3341724405718</v>
      </c>
      <c r="CN27" s="210">
        <f t="shared" si="24"/>
        <v>2633.2790844828087</v>
      </c>
      <c r="CO27" s="210">
        <f t="shared" si="24"/>
        <v>2678.223996525046</v>
      </c>
      <c r="CP27" s="210">
        <f t="shared" si="24"/>
        <v>2723.1689085672833</v>
      </c>
      <c r="CQ27" s="210">
        <f t="shared" si="24"/>
        <v>2768.1138206095206</v>
      </c>
      <c r="CR27" s="210">
        <f t="shared" si="25"/>
        <v>2813.058732651758</v>
      </c>
      <c r="CS27" s="210">
        <f t="shared" si="25"/>
        <v>2858.0036446939948</v>
      </c>
      <c r="CT27" s="210">
        <f t="shared" si="25"/>
        <v>2902.9485567362321</v>
      </c>
      <c r="CU27" s="210">
        <f t="shared" si="25"/>
        <v>2947.8934687784695</v>
      </c>
      <c r="CV27" s="210">
        <f t="shared" si="25"/>
        <v>2992.8383808207063</v>
      </c>
      <c r="CW27" s="210">
        <f t="shared" si="25"/>
        <v>3037.7832928629437</v>
      </c>
      <c r="CX27" s="210">
        <f t="shared" si="25"/>
        <v>3037.7832928629437</v>
      </c>
      <c r="CY27" s="210">
        <f t="shared" si="25"/>
        <v>3037.7832928629437</v>
      </c>
      <c r="CZ27" s="210">
        <f t="shared" si="25"/>
        <v>3037.7832928629437</v>
      </c>
      <c r="DA27" s="210">
        <f t="shared" si="25"/>
        <v>3037.7832928629437</v>
      </c>
    </row>
    <row r="28" spans="1:105">
      <c r="A28" s="201" t="str">
        <f>Income!A75</f>
        <v>Animal products sold</v>
      </c>
      <c r="B28" s="203">
        <f>Income!B75</f>
        <v>0</v>
      </c>
      <c r="C28" s="203">
        <f>Income!C75</f>
        <v>0</v>
      </c>
      <c r="D28" s="203">
        <f>Income!D75</f>
        <v>0</v>
      </c>
      <c r="E28" s="203">
        <f>Income!E75</f>
        <v>0</v>
      </c>
      <c r="F28" s="210">
        <f t="shared" si="16"/>
        <v>0</v>
      </c>
      <c r="G28" s="210">
        <f t="shared" si="16"/>
        <v>0</v>
      </c>
      <c r="H28" s="210">
        <f t="shared" si="16"/>
        <v>0</v>
      </c>
      <c r="I28" s="210">
        <f t="shared" si="16"/>
        <v>0</v>
      </c>
      <c r="J28" s="210">
        <f t="shared" si="16"/>
        <v>0</v>
      </c>
      <c r="K28" s="210">
        <f t="shared" si="16"/>
        <v>0</v>
      </c>
      <c r="L28" s="210">
        <f t="shared" si="16"/>
        <v>0</v>
      </c>
      <c r="M28" s="210">
        <f t="shared" si="16"/>
        <v>0</v>
      </c>
      <c r="N28" s="210">
        <f t="shared" si="16"/>
        <v>0</v>
      </c>
      <c r="O28" s="210">
        <f t="shared" si="16"/>
        <v>0</v>
      </c>
      <c r="P28" s="210">
        <f t="shared" si="17"/>
        <v>0</v>
      </c>
      <c r="Q28" s="210">
        <f t="shared" si="17"/>
        <v>0</v>
      </c>
      <c r="R28" s="210">
        <f t="shared" si="17"/>
        <v>0</v>
      </c>
      <c r="S28" s="210">
        <f t="shared" si="17"/>
        <v>0</v>
      </c>
      <c r="T28" s="210">
        <f t="shared" si="17"/>
        <v>0</v>
      </c>
      <c r="U28" s="210">
        <f t="shared" si="17"/>
        <v>0</v>
      </c>
      <c r="V28" s="210">
        <f t="shared" si="17"/>
        <v>0</v>
      </c>
      <c r="W28" s="210">
        <f t="shared" si="17"/>
        <v>0</v>
      </c>
      <c r="X28" s="210">
        <f t="shared" si="17"/>
        <v>0</v>
      </c>
      <c r="Y28" s="210">
        <f t="shared" si="17"/>
        <v>0</v>
      </c>
      <c r="Z28" s="210">
        <f t="shared" si="18"/>
        <v>0</v>
      </c>
      <c r="AA28" s="210">
        <f t="shared" si="18"/>
        <v>0</v>
      </c>
      <c r="AB28" s="210">
        <f t="shared" si="18"/>
        <v>0</v>
      </c>
      <c r="AC28" s="210">
        <f t="shared" si="18"/>
        <v>0</v>
      </c>
      <c r="AD28" s="210">
        <f t="shared" si="18"/>
        <v>0</v>
      </c>
      <c r="AE28" s="210">
        <f t="shared" si="18"/>
        <v>0</v>
      </c>
      <c r="AF28" s="210">
        <f t="shared" si="18"/>
        <v>0</v>
      </c>
      <c r="AG28" s="210">
        <f t="shared" si="18"/>
        <v>0</v>
      </c>
      <c r="AH28" s="210">
        <f t="shared" si="18"/>
        <v>0</v>
      </c>
      <c r="AI28" s="210">
        <f t="shared" si="18"/>
        <v>0</v>
      </c>
      <c r="AJ28" s="210">
        <f t="shared" si="19"/>
        <v>0</v>
      </c>
      <c r="AK28" s="210">
        <f t="shared" si="19"/>
        <v>0</v>
      </c>
      <c r="AL28" s="210">
        <f t="shared" si="19"/>
        <v>0</v>
      </c>
      <c r="AM28" s="210">
        <f t="shared" si="19"/>
        <v>0</v>
      </c>
      <c r="AN28" s="210">
        <f t="shared" si="19"/>
        <v>0</v>
      </c>
      <c r="AO28" s="210">
        <f t="shared" si="19"/>
        <v>0</v>
      </c>
      <c r="AP28" s="210">
        <f t="shared" si="19"/>
        <v>0</v>
      </c>
      <c r="AQ28" s="210">
        <f t="shared" si="19"/>
        <v>0</v>
      </c>
      <c r="AR28" s="210">
        <f t="shared" si="19"/>
        <v>0</v>
      </c>
      <c r="AS28" s="210">
        <f t="shared" si="19"/>
        <v>0</v>
      </c>
      <c r="AT28" s="210">
        <f t="shared" si="20"/>
        <v>0</v>
      </c>
      <c r="AU28" s="210">
        <f t="shared" si="20"/>
        <v>0</v>
      </c>
      <c r="AV28" s="210">
        <f t="shared" si="20"/>
        <v>0</v>
      </c>
      <c r="AW28" s="210">
        <f t="shared" si="20"/>
        <v>0</v>
      </c>
      <c r="AX28" s="210">
        <f t="shared" si="20"/>
        <v>0</v>
      </c>
      <c r="AY28" s="210">
        <f t="shared" si="20"/>
        <v>0</v>
      </c>
      <c r="AZ28" s="210">
        <f t="shared" si="20"/>
        <v>0</v>
      </c>
      <c r="BA28" s="210">
        <f t="shared" si="20"/>
        <v>0</v>
      </c>
      <c r="BB28" s="210">
        <f t="shared" si="20"/>
        <v>0</v>
      </c>
      <c r="BC28" s="210">
        <f t="shared" si="20"/>
        <v>0</v>
      </c>
      <c r="BD28" s="210">
        <f t="shared" si="21"/>
        <v>0</v>
      </c>
      <c r="BE28" s="210">
        <f t="shared" si="21"/>
        <v>0</v>
      </c>
      <c r="BF28" s="210">
        <f t="shared" si="21"/>
        <v>0</v>
      </c>
      <c r="BG28" s="210">
        <f t="shared" si="21"/>
        <v>0</v>
      </c>
      <c r="BH28" s="210">
        <f t="shared" si="21"/>
        <v>0</v>
      </c>
      <c r="BI28" s="210">
        <f t="shared" si="21"/>
        <v>0</v>
      </c>
      <c r="BJ28" s="210">
        <f t="shared" si="21"/>
        <v>0</v>
      </c>
      <c r="BK28" s="210">
        <f t="shared" si="21"/>
        <v>0</v>
      </c>
      <c r="BL28" s="210">
        <f t="shared" si="21"/>
        <v>0</v>
      </c>
      <c r="BM28" s="210">
        <f t="shared" si="21"/>
        <v>0</v>
      </c>
      <c r="BN28" s="210">
        <f t="shared" si="22"/>
        <v>0</v>
      </c>
      <c r="BO28" s="210">
        <f t="shared" si="22"/>
        <v>0</v>
      </c>
      <c r="BP28" s="210">
        <f t="shared" si="22"/>
        <v>0</v>
      </c>
      <c r="BQ28" s="210">
        <f t="shared" si="22"/>
        <v>0</v>
      </c>
      <c r="BR28" s="210">
        <f t="shared" si="22"/>
        <v>0</v>
      </c>
      <c r="BS28" s="210">
        <f t="shared" si="22"/>
        <v>0</v>
      </c>
      <c r="BT28" s="210">
        <f t="shared" si="22"/>
        <v>0</v>
      </c>
      <c r="BU28" s="210">
        <f t="shared" si="22"/>
        <v>0</v>
      </c>
      <c r="BV28" s="210">
        <f t="shared" si="22"/>
        <v>0</v>
      </c>
      <c r="BW28" s="210">
        <f t="shared" si="22"/>
        <v>0</v>
      </c>
      <c r="BX28" s="210">
        <f t="shared" si="23"/>
        <v>0</v>
      </c>
      <c r="BY28" s="210">
        <f t="shared" si="23"/>
        <v>0</v>
      </c>
      <c r="BZ28" s="210">
        <f t="shared" si="23"/>
        <v>0</v>
      </c>
      <c r="CA28" s="210">
        <f t="shared" si="23"/>
        <v>0</v>
      </c>
      <c r="CB28" s="210">
        <f t="shared" si="23"/>
        <v>0</v>
      </c>
      <c r="CC28" s="210">
        <f t="shared" si="23"/>
        <v>0</v>
      </c>
      <c r="CD28" s="210">
        <f t="shared" si="23"/>
        <v>0</v>
      </c>
      <c r="CE28" s="210">
        <f t="shared" si="23"/>
        <v>0</v>
      </c>
      <c r="CF28" s="210">
        <f t="shared" si="23"/>
        <v>0</v>
      </c>
      <c r="CG28" s="210">
        <f t="shared" si="23"/>
        <v>0</v>
      </c>
      <c r="CH28" s="210">
        <f t="shared" si="24"/>
        <v>0</v>
      </c>
      <c r="CI28" s="210">
        <f t="shared" si="24"/>
        <v>0</v>
      </c>
      <c r="CJ28" s="210">
        <f t="shared" si="24"/>
        <v>0</v>
      </c>
      <c r="CK28" s="210">
        <f t="shared" si="24"/>
        <v>0</v>
      </c>
      <c r="CL28" s="210">
        <f t="shared" si="24"/>
        <v>0</v>
      </c>
      <c r="CM28" s="210">
        <f t="shared" si="24"/>
        <v>0</v>
      </c>
      <c r="CN28" s="210">
        <f t="shared" si="24"/>
        <v>0</v>
      </c>
      <c r="CO28" s="210">
        <f t="shared" si="24"/>
        <v>0</v>
      </c>
      <c r="CP28" s="210">
        <f t="shared" si="24"/>
        <v>0</v>
      </c>
      <c r="CQ28" s="210">
        <f t="shared" si="24"/>
        <v>0</v>
      </c>
      <c r="CR28" s="210">
        <f t="shared" si="25"/>
        <v>0</v>
      </c>
      <c r="CS28" s="210">
        <f t="shared" si="25"/>
        <v>0</v>
      </c>
      <c r="CT28" s="210">
        <f t="shared" si="25"/>
        <v>0</v>
      </c>
      <c r="CU28" s="210">
        <f t="shared" si="25"/>
        <v>0</v>
      </c>
      <c r="CV28" s="210">
        <f t="shared" si="25"/>
        <v>0</v>
      </c>
      <c r="CW28" s="210">
        <f t="shared" si="25"/>
        <v>0</v>
      </c>
      <c r="CX28" s="210">
        <f t="shared" si="25"/>
        <v>0</v>
      </c>
      <c r="CY28" s="210">
        <f t="shared" si="25"/>
        <v>0</v>
      </c>
      <c r="CZ28" s="210">
        <f t="shared" si="25"/>
        <v>0</v>
      </c>
      <c r="DA28" s="210">
        <f t="shared" si="25"/>
        <v>0</v>
      </c>
    </row>
    <row r="29" spans="1:105">
      <c r="A29" s="201" t="str">
        <f>Income!A76</f>
        <v>Animals sold</v>
      </c>
      <c r="B29" s="203">
        <f>Income!B76</f>
        <v>1921.9158048747584</v>
      </c>
      <c r="C29" s="203">
        <f>Income!C76</f>
        <v>14574.528186966918</v>
      </c>
      <c r="D29" s="203">
        <f>Income!D76</f>
        <v>42538.403147894649</v>
      </c>
      <c r="E29" s="203">
        <f>Income!E76</f>
        <v>48955.466474170928</v>
      </c>
      <c r="F29" s="210">
        <f t="shared" si="16"/>
        <v>1921.9158048747584</v>
      </c>
      <c r="G29" s="210">
        <f t="shared" si="16"/>
        <v>1921.9158048747584</v>
      </c>
      <c r="H29" s="210">
        <f t="shared" si="16"/>
        <v>1921.9158048747584</v>
      </c>
      <c r="I29" s="210">
        <f t="shared" si="16"/>
        <v>1921.9158048747584</v>
      </c>
      <c r="J29" s="210">
        <f t="shared" si="16"/>
        <v>1921.9158048747584</v>
      </c>
      <c r="K29" s="210">
        <f t="shared" si="16"/>
        <v>1921.9158048747584</v>
      </c>
      <c r="L29" s="210">
        <f t="shared" si="16"/>
        <v>1921.9158048747584</v>
      </c>
      <c r="M29" s="210">
        <f t="shared" si="16"/>
        <v>1921.9158048747584</v>
      </c>
      <c r="N29" s="210">
        <f t="shared" si="16"/>
        <v>1921.9158048747584</v>
      </c>
      <c r="O29" s="210">
        <f t="shared" si="16"/>
        <v>1921.9158048747584</v>
      </c>
      <c r="P29" s="210">
        <f t="shared" si="17"/>
        <v>1921.9158048747584</v>
      </c>
      <c r="Q29" s="210">
        <f t="shared" si="17"/>
        <v>1921.9158048747584</v>
      </c>
      <c r="R29" s="210">
        <f t="shared" si="17"/>
        <v>1921.9158048747584</v>
      </c>
      <c r="S29" s="210">
        <f t="shared" si="17"/>
        <v>1921.9158048747584</v>
      </c>
      <c r="T29" s="210">
        <f t="shared" si="17"/>
        <v>1921.9158048747584</v>
      </c>
      <c r="U29" s="210">
        <f t="shared" si="17"/>
        <v>1921.9158048747584</v>
      </c>
      <c r="V29" s="210">
        <f t="shared" si="17"/>
        <v>1921.9158048747584</v>
      </c>
      <c r="W29" s="210">
        <f t="shared" si="17"/>
        <v>1921.9158048747584</v>
      </c>
      <c r="X29" s="210">
        <f t="shared" si="17"/>
        <v>1921.9158048747584</v>
      </c>
      <c r="Y29" s="210">
        <f t="shared" si="17"/>
        <v>1921.9158048747584</v>
      </c>
      <c r="Z29" s="210">
        <f t="shared" si="18"/>
        <v>1921.9158048747584</v>
      </c>
      <c r="AA29" s="210">
        <f t="shared" si="18"/>
        <v>1921.9158048747584</v>
      </c>
      <c r="AB29" s="210">
        <f t="shared" si="18"/>
        <v>1921.9158048747584</v>
      </c>
      <c r="AC29" s="210">
        <f t="shared" si="18"/>
        <v>1921.9158048747584</v>
      </c>
      <c r="AD29" s="210">
        <f t="shared" si="18"/>
        <v>1921.9158048747584</v>
      </c>
      <c r="AE29" s="210">
        <f t="shared" si="18"/>
        <v>1921.9158048747584</v>
      </c>
      <c r="AF29" s="210">
        <f t="shared" si="18"/>
        <v>2259.3188017305492</v>
      </c>
      <c r="AG29" s="210">
        <f t="shared" si="18"/>
        <v>2596.7217985863404</v>
      </c>
      <c r="AH29" s="210">
        <f t="shared" si="18"/>
        <v>2934.124795442131</v>
      </c>
      <c r="AI29" s="210">
        <f t="shared" si="18"/>
        <v>3271.5277922979221</v>
      </c>
      <c r="AJ29" s="210">
        <f t="shared" si="19"/>
        <v>3608.9307891537132</v>
      </c>
      <c r="AK29" s="210">
        <f t="shared" si="19"/>
        <v>3946.3337860095039</v>
      </c>
      <c r="AL29" s="210">
        <f t="shared" si="19"/>
        <v>4283.736782865295</v>
      </c>
      <c r="AM29" s="210">
        <f t="shared" si="19"/>
        <v>4621.1397797210857</v>
      </c>
      <c r="AN29" s="210">
        <f t="shared" si="19"/>
        <v>4958.5427765768773</v>
      </c>
      <c r="AO29" s="210">
        <f t="shared" si="19"/>
        <v>5295.9457734326679</v>
      </c>
      <c r="AP29" s="210">
        <f t="shared" si="19"/>
        <v>5633.3487702884586</v>
      </c>
      <c r="AQ29" s="210">
        <f t="shared" si="19"/>
        <v>5970.7517671442492</v>
      </c>
      <c r="AR29" s="210">
        <f t="shared" si="19"/>
        <v>6308.1547640000408</v>
      </c>
      <c r="AS29" s="210">
        <f t="shared" si="19"/>
        <v>6645.5577608558315</v>
      </c>
      <c r="AT29" s="210">
        <f t="shared" si="20"/>
        <v>6982.9607577116221</v>
      </c>
      <c r="AU29" s="210">
        <f t="shared" si="20"/>
        <v>7320.3637545674137</v>
      </c>
      <c r="AV29" s="210">
        <f t="shared" si="20"/>
        <v>7657.7667514232044</v>
      </c>
      <c r="AW29" s="210">
        <f t="shared" si="20"/>
        <v>7995.1697482789959</v>
      </c>
      <c r="AX29" s="210">
        <f t="shared" si="20"/>
        <v>8332.5727451347866</v>
      </c>
      <c r="AY29" s="210">
        <f t="shared" si="20"/>
        <v>8669.9757419905782</v>
      </c>
      <c r="AZ29" s="210">
        <f t="shared" si="20"/>
        <v>9007.3787388463679</v>
      </c>
      <c r="BA29" s="210">
        <f t="shared" si="20"/>
        <v>9344.7817357021595</v>
      </c>
      <c r="BB29" s="210">
        <f t="shared" si="20"/>
        <v>9682.1847325579511</v>
      </c>
      <c r="BC29" s="210">
        <f t="shared" si="20"/>
        <v>10019.587729413741</v>
      </c>
      <c r="BD29" s="210">
        <f t="shared" si="21"/>
        <v>10356.990726269531</v>
      </c>
      <c r="BE29" s="210">
        <f t="shared" si="21"/>
        <v>10694.393723125322</v>
      </c>
      <c r="BF29" s="210">
        <f t="shared" si="21"/>
        <v>11031.796719981112</v>
      </c>
      <c r="BG29" s="210">
        <f t="shared" si="21"/>
        <v>11369.199716836903</v>
      </c>
      <c r="BH29" s="210">
        <f t="shared" si="21"/>
        <v>11706.602713692695</v>
      </c>
      <c r="BI29" s="210">
        <f t="shared" si="21"/>
        <v>12044.005710548485</v>
      </c>
      <c r="BJ29" s="210">
        <f t="shared" si="21"/>
        <v>12381.408707404276</v>
      </c>
      <c r="BK29" s="210">
        <f t="shared" si="21"/>
        <v>12718.811704260068</v>
      </c>
      <c r="BL29" s="210">
        <f t="shared" si="21"/>
        <v>13056.214701115859</v>
      </c>
      <c r="BM29" s="210">
        <f t="shared" si="21"/>
        <v>13393.617697971649</v>
      </c>
      <c r="BN29" s="210">
        <f t="shared" si="22"/>
        <v>13731.020694827441</v>
      </c>
      <c r="BO29" s="210">
        <f t="shared" si="22"/>
        <v>14068.423691683232</v>
      </c>
      <c r="BP29" s="210">
        <f t="shared" si="22"/>
        <v>14405.826688539022</v>
      </c>
      <c r="BQ29" s="210">
        <f t="shared" si="22"/>
        <v>15273.625060990111</v>
      </c>
      <c r="BR29" s="210">
        <f t="shared" si="22"/>
        <v>16671.818809036497</v>
      </c>
      <c r="BS29" s="210">
        <f t="shared" si="22"/>
        <v>18070.012557082882</v>
      </c>
      <c r="BT29" s="210">
        <f t="shared" si="22"/>
        <v>19468.206305129272</v>
      </c>
      <c r="BU29" s="210">
        <f t="shared" si="22"/>
        <v>20866.400053175657</v>
      </c>
      <c r="BV29" s="210">
        <f t="shared" si="22"/>
        <v>22264.593801222043</v>
      </c>
      <c r="BW29" s="210">
        <f t="shared" si="22"/>
        <v>23662.787549268432</v>
      </c>
      <c r="BX29" s="210">
        <f t="shared" si="23"/>
        <v>25060.981297314815</v>
      </c>
      <c r="BY29" s="210">
        <f t="shared" si="23"/>
        <v>26459.175045361204</v>
      </c>
      <c r="BZ29" s="210">
        <f t="shared" si="23"/>
        <v>27857.368793407586</v>
      </c>
      <c r="CA29" s="210">
        <f t="shared" si="23"/>
        <v>29255.562541453975</v>
      </c>
      <c r="CB29" s="210">
        <f t="shared" si="23"/>
        <v>30653.756289500361</v>
      </c>
      <c r="CC29" s="210">
        <f t="shared" si="23"/>
        <v>32051.950037546747</v>
      </c>
      <c r="CD29" s="210">
        <f t="shared" si="23"/>
        <v>33450.143785593136</v>
      </c>
      <c r="CE29" s="210">
        <f t="shared" si="23"/>
        <v>34848.337533639526</v>
      </c>
      <c r="CF29" s="210">
        <f t="shared" si="23"/>
        <v>36246.531281685908</v>
      </c>
      <c r="CG29" s="210">
        <f t="shared" si="23"/>
        <v>37644.725029732297</v>
      </c>
      <c r="CH29" s="210">
        <f t="shared" si="24"/>
        <v>39042.918777778679</v>
      </c>
      <c r="CI29" s="210">
        <f t="shared" si="24"/>
        <v>40441.112525825069</v>
      </c>
      <c r="CJ29" s="210">
        <f t="shared" si="24"/>
        <v>41839.306273871451</v>
      </c>
      <c r="CK29" s="210">
        <f t="shared" si="24"/>
        <v>42795.085680945704</v>
      </c>
      <c r="CL29" s="210">
        <f t="shared" si="24"/>
        <v>43308.450747047806</v>
      </c>
      <c r="CM29" s="210">
        <f t="shared" si="24"/>
        <v>43821.815813149908</v>
      </c>
      <c r="CN29" s="210">
        <f t="shared" si="24"/>
        <v>44335.18087925201</v>
      </c>
      <c r="CO29" s="210">
        <f t="shared" si="24"/>
        <v>44848.545945354112</v>
      </c>
      <c r="CP29" s="210">
        <f t="shared" si="24"/>
        <v>45361.911011456214</v>
      </c>
      <c r="CQ29" s="210">
        <f t="shared" si="24"/>
        <v>45875.276077558316</v>
      </c>
      <c r="CR29" s="210">
        <f t="shared" si="25"/>
        <v>46388.641143660418</v>
      </c>
      <c r="CS29" s="210">
        <f t="shared" si="25"/>
        <v>46902.00620976252</v>
      </c>
      <c r="CT29" s="210">
        <f t="shared" si="25"/>
        <v>47415.371275864622</v>
      </c>
      <c r="CU29" s="210">
        <f t="shared" si="25"/>
        <v>47928.736341966724</v>
      </c>
      <c r="CV29" s="210">
        <f t="shared" si="25"/>
        <v>48442.101408068826</v>
      </c>
      <c r="CW29" s="210">
        <f t="shared" si="25"/>
        <v>48955.466474170928</v>
      </c>
      <c r="CX29" s="210">
        <f t="shared" si="25"/>
        <v>48955.466474170928</v>
      </c>
      <c r="CY29" s="210">
        <f t="shared" si="25"/>
        <v>48955.466474170928</v>
      </c>
      <c r="CZ29" s="210">
        <f t="shared" si="25"/>
        <v>48955.466474170928</v>
      </c>
      <c r="DA29" s="210">
        <f t="shared" si="25"/>
        <v>48955.466474170928</v>
      </c>
    </row>
    <row r="30" spans="1:105">
      <c r="A30" s="201" t="str">
        <f>Income!A77</f>
        <v>Wild foods consumed and sold</v>
      </c>
      <c r="B30" s="203">
        <f>Income!B77</f>
        <v>0</v>
      </c>
      <c r="C30" s="203">
        <f>Income!C77</f>
        <v>0</v>
      </c>
      <c r="D30" s="203">
        <f>Income!D77</f>
        <v>0</v>
      </c>
      <c r="E30" s="203">
        <f>Income!E77</f>
        <v>0</v>
      </c>
      <c r="F30" s="210">
        <f t="shared" si="16"/>
        <v>0</v>
      </c>
      <c r="G30" s="210">
        <f t="shared" si="16"/>
        <v>0</v>
      </c>
      <c r="H30" s="210">
        <f t="shared" si="16"/>
        <v>0</v>
      </c>
      <c r="I30" s="210">
        <f t="shared" si="16"/>
        <v>0</v>
      </c>
      <c r="J30" s="210">
        <f t="shared" si="16"/>
        <v>0</v>
      </c>
      <c r="K30" s="210">
        <f t="shared" si="16"/>
        <v>0</v>
      </c>
      <c r="L30" s="210">
        <f t="shared" si="16"/>
        <v>0</v>
      </c>
      <c r="M30" s="210">
        <f t="shared" si="16"/>
        <v>0</v>
      </c>
      <c r="N30" s="210">
        <f t="shared" si="16"/>
        <v>0</v>
      </c>
      <c r="O30" s="210">
        <f t="shared" si="16"/>
        <v>0</v>
      </c>
      <c r="P30" s="210">
        <f t="shared" si="17"/>
        <v>0</v>
      </c>
      <c r="Q30" s="210">
        <f t="shared" si="17"/>
        <v>0</v>
      </c>
      <c r="R30" s="210">
        <f t="shared" si="17"/>
        <v>0</v>
      </c>
      <c r="S30" s="210">
        <f t="shared" si="17"/>
        <v>0</v>
      </c>
      <c r="T30" s="210">
        <f t="shared" si="17"/>
        <v>0</v>
      </c>
      <c r="U30" s="210">
        <f t="shared" si="17"/>
        <v>0</v>
      </c>
      <c r="V30" s="210">
        <f t="shared" si="17"/>
        <v>0</v>
      </c>
      <c r="W30" s="210">
        <f t="shared" si="17"/>
        <v>0</v>
      </c>
      <c r="X30" s="210">
        <f t="shared" si="17"/>
        <v>0</v>
      </c>
      <c r="Y30" s="210">
        <f t="shared" si="17"/>
        <v>0</v>
      </c>
      <c r="Z30" s="210">
        <f t="shared" si="18"/>
        <v>0</v>
      </c>
      <c r="AA30" s="210">
        <f t="shared" si="18"/>
        <v>0</v>
      </c>
      <c r="AB30" s="210">
        <f t="shared" si="18"/>
        <v>0</v>
      </c>
      <c r="AC30" s="210">
        <f t="shared" si="18"/>
        <v>0</v>
      </c>
      <c r="AD30" s="210">
        <f t="shared" si="18"/>
        <v>0</v>
      </c>
      <c r="AE30" s="210">
        <f t="shared" si="18"/>
        <v>0</v>
      </c>
      <c r="AF30" s="210">
        <f t="shared" si="18"/>
        <v>0</v>
      </c>
      <c r="AG30" s="210">
        <f t="shared" si="18"/>
        <v>0</v>
      </c>
      <c r="AH30" s="210">
        <f t="shared" si="18"/>
        <v>0</v>
      </c>
      <c r="AI30" s="210">
        <f t="shared" si="18"/>
        <v>0</v>
      </c>
      <c r="AJ30" s="210">
        <f t="shared" si="19"/>
        <v>0</v>
      </c>
      <c r="AK30" s="210">
        <f t="shared" si="19"/>
        <v>0</v>
      </c>
      <c r="AL30" s="210">
        <f t="shared" si="19"/>
        <v>0</v>
      </c>
      <c r="AM30" s="210">
        <f t="shared" si="19"/>
        <v>0</v>
      </c>
      <c r="AN30" s="210">
        <f t="shared" si="19"/>
        <v>0</v>
      </c>
      <c r="AO30" s="210">
        <f t="shared" si="19"/>
        <v>0</v>
      </c>
      <c r="AP30" s="210">
        <f t="shared" si="19"/>
        <v>0</v>
      </c>
      <c r="AQ30" s="210">
        <f t="shared" si="19"/>
        <v>0</v>
      </c>
      <c r="AR30" s="210">
        <f t="shared" si="19"/>
        <v>0</v>
      </c>
      <c r="AS30" s="210">
        <f t="shared" si="19"/>
        <v>0</v>
      </c>
      <c r="AT30" s="210">
        <f t="shared" si="20"/>
        <v>0</v>
      </c>
      <c r="AU30" s="210">
        <f t="shared" si="20"/>
        <v>0</v>
      </c>
      <c r="AV30" s="210">
        <f t="shared" si="20"/>
        <v>0</v>
      </c>
      <c r="AW30" s="210">
        <f t="shared" si="20"/>
        <v>0</v>
      </c>
      <c r="AX30" s="210">
        <f t="shared" si="20"/>
        <v>0</v>
      </c>
      <c r="AY30" s="210">
        <f t="shared" si="20"/>
        <v>0</v>
      </c>
      <c r="AZ30" s="210">
        <f t="shared" si="20"/>
        <v>0</v>
      </c>
      <c r="BA30" s="210">
        <f t="shared" si="20"/>
        <v>0</v>
      </c>
      <c r="BB30" s="210">
        <f t="shared" si="20"/>
        <v>0</v>
      </c>
      <c r="BC30" s="210">
        <f t="shared" si="20"/>
        <v>0</v>
      </c>
      <c r="BD30" s="210">
        <f t="shared" si="21"/>
        <v>0</v>
      </c>
      <c r="BE30" s="210">
        <f t="shared" si="21"/>
        <v>0</v>
      </c>
      <c r="BF30" s="210">
        <f t="shared" si="21"/>
        <v>0</v>
      </c>
      <c r="BG30" s="210">
        <f t="shared" si="21"/>
        <v>0</v>
      </c>
      <c r="BH30" s="210">
        <f t="shared" si="21"/>
        <v>0</v>
      </c>
      <c r="BI30" s="210">
        <f t="shared" si="21"/>
        <v>0</v>
      </c>
      <c r="BJ30" s="210">
        <f t="shared" si="21"/>
        <v>0</v>
      </c>
      <c r="BK30" s="210">
        <f t="shared" si="21"/>
        <v>0</v>
      </c>
      <c r="BL30" s="210">
        <f t="shared" si="21"/>
        <v>0</v>
      </c>
      <c r="BM30" s="210">
        <f t="shared" si="21"/>
        <v>0</v>
      </c>
      <c r="BN30" s="210">
        <f t="shared" si="22"/>
        <v>0</v>
      </c>
      <c r="BO30" s="210">
        <f t="shared" si="22"/>
        <v>0</v>
      </c>
      <c r="BP30" s="210">
        <f t="shared" si="22"/>
        <v>0</v>
      </c>
      <c r="BQ30" s="210">
        <f t="shared" si="22"/>
        <v>0</v>
      </c>
      <c r="BR30" s="210">
        <f t="shared" si="22"/>
        <v>0</v>
      </c>
      <c r="BS30" s="210">
        <f t="shared" si="22"/>
        <v>0</v>
      </c>
      <c r="BT30" s="210">
        <f t="shared" si="22"/>
        <v>0</v>
      </c>
      <c r="BU30" s="210">
        <f t="shared" si="22"/>
        <v>0</v>
      </c>
      <c r="BV30" s="210">
        <f t="shared" si="22"/>
        <v>0</v>
      </c>
      <c r="BW30" s="210">
        <f t="shared" si="22"/>
        <v>0</v>
      </c>
      <c r="BX30" s="210">
        <f t="shared" si="23"/>
        <v>0</v>
      </c>
      <c r="BY30" s="210">
        <f t="shared" si="23"/>
        <v>0</v>
      </c>
      <c r="BZ30" s="210">
        <f t="shared" si="23"/>
        <v>0</v>
      </c>
      <c r="CA30" s="210">
        <f t="shared" si="23"/>
        <v>0</v>
      </c>
      <c r="CB30" s="210">
        <f t="shared" si="23"/>
        <v>0</v>
      </c>
      <c r="CC30" s="210">
        <f t="shared" si="23"/>
        <v>0</v>
      </c>
      <c r="CD30" s="210">
        <f t="shared" si="23"/>
        <v>0</v>
      </c>
      <c r="CE30" s="210">
        <f t="shared" si="23"/>
        <v>0</v>
      </c>
      <c r="CF30" s="210">
        <f t="shared" si="23"/>
        <v>0</v>
      </c>
      <c r="CG30" s="210">
        <f t="shared" si="23"/>
        <v>0</v>
      </c>
      <c r="CH30" s="210">
        <f t="shared" si="24"/>
        <v>0</v>
      </c>
      <c r="CI30" s="210">
        <f t="shared" si="24"/>
        <v>0</v>
      </c>
      <c r="CJ30" s="210">
        <f t="shared" si="24"/>
        <v>0</v>
      </c>
      <c r="CK30" s="210">
        <f t="shared" si="24"/>
        <v>0</v>
      </c>
      <c r="CL30" s="210">
        <f t="shared" si="24"/>
        <v>0</v>
      </c>
      <c r="CM30" s="210">
        <f t="shared" si="24"/>
        <v>0</v>
      </c>
      <c r="CN30" s="210">
        <f t="shared" si="24"/>
        <v>0</v>
      </c>
      <c r="CO30" s="210">
        <f t="shared" si="24"/>
        <v>0</v>
      </c>
      <c r="CP30" s="210">
        <f t="shared" si="24"/>
        <v>0</v>
      </c>
      <c r="CQ30" s="210">
        <f t="shared" si="24"/>
        <v>0</v>
      </c>
      <c r="CR30" s="210">
        <f t="shared" si="25"/>
        <v>0</v>
      </c>
      <c r="CS30" s="210">
        <f t="shared" si="25"/>
        <v>0</v>
      </c>
      <c r="CT30" s="210">
        <f t="shared" si="25"/>
        <v>0</v>
      </c>
      <c r="CU30" s="210">
        <f t="shared" si="25"/>
        <v>0</v>
      </c>
      <c r="CV30" s="210">
        <f t="shared" si="25"/>
        <v>0</v>
      </c>
      <c r="CW30" s="210">
        <f t="shared" si="25"/>
        <v>0</v>
      </c>
      <c r="CX30" s="210">
        <f t="shared" si="25"/>
        <v>0</v>
      </c>
      <c r="CY30" s="210">
        <f t="shared" si="25"/>
        <v>0</v>
      </c>
      <c r="CZ30" s="210">
        <f t="shared" si="25"/>
        <v>0</v>
      </c>
      <c r="DA30" s="210">
        <f t="shared" si="25"/>
        <v>0</v>
      </c>
    </row>
    <row r="31" spans="1:105">
      <c r="A31" s="201" t="str">
        <f>Income!A78</f>
        <v>Labour - casual</v>
      </c>
      <c r="B31" s="203">
        <f>Income!B78</f>
        <v>11104.402428165269</v>
      </c>
      <c r="C31" s="203">
        <f>Income!C78</f>
        <v>7414.3240828057342</v>
      </c>
      <c r="D31" s="203">
        <f>Income!D78</f>
        <v>32800.696403195871</v>
      </c>
      <c r="E31" s="203">
        <f>Income!E78</f>
        <v>0</v>
      </c>
      <c r="F31" s="210">
        <f t="shared" si="16"/>
        <v>11104.402428165269</v>
      </c>
      <c r="G31" s="210">
        <f t="shared" si="16"/>
        <v>11104.402428165269</v>
      </c>
      <c r="H31" s="210">
        <f t="shared" si="16"/>
        <v>11104.402428165269</v>
      </c>
      <c r="I31" s="210">
        <f t="shared" si="16"/>
        <v>11104.402428165269</v>
      </c>
      <c r="J31" s="210">
        <f t="shared" si="16"/>
        <v>11104.402428165269</v>
      </c>
      <c r="K31" s="210">
        <f t="shared" si="16"/>
        <v>11104.402428165269</v>
      </c>
      <c r="L31" s="210">
        <f t="shared" si="16"/>
        <v>11104.402428165269</v>
      </c>
      <c r="M31" s="210">
        <f t="shared" si="16"/>
        <v>11104.402428165269</v>
      </c>
      <c r="N31" s="210">
        <f t="shared" si="16"/>
        <v>11104.402428165269</v>
      </c>
      <c r="O31" s="210">
        <f t="shared" si="16"/>
        <v>11104.402428165269</v>
      </c>
      <c r="P31" s="210">
        <f t="shared" si="17"/>
        <v>11104.402428165269</v>
      </c>
      <c r="Q31" s="210">
        <f t="shared" si="17"/>
        <v>11104.402428165269</v>
      </c>
      <c r="R31" s="210">
        <f t="shared" si="17"/>
        <v>11104.402428165269</v>
      </c>
      <c r="S31" s="210">
        <f t="shared" si="17"/>
        <v>11104.402428165269</v>
      </c>
      <c r="T31" s="210">
        <f t="shared" si="17"/>
        <v>11104.402428165269</v>
      </c>
      <c r="U31" s="210">
        <f t="shared" si="17"/>
        <v>11104.402428165269</v>
      </c>
      <c r="V31" s="210">
        <f t="shared" si="17"/>
        <v>11104.402428165269</v>
      </c>
      <c r="W31" s="210">
        <f t="shared" si="17"/>
        <v>11104.402428165269</v>
      </c>
      <c r="X31" s="210">
        <f t="shared" si="17"/>
        <v>11104.402428165269</v>
      </c>
      <c r="Y31" s="210">
        <f t="shared" si="17"/>
        <v>11104.402428165269</v>
      </c>
      <c r="Z31" s="210">
        <f t="shared" si="18"/>
        <v>11104.402428165269</v>
      </c>
      <c r="AA31" s="210">
        <f t="shared" si="18"/>
        <v>11104.402428165269</v>
      </c>
      <c r="AB31" s="210">
        <f t="shared" si="18"/>
        <v>11104.402428165269</v>
      </c>
      <c r="AC31" s="210">
        <f t="shared" si="18"/>
        <v>11104.402428165269</v>
      </c>
      <c r="AD31" s="210">
        <f t="shared" si="18"/>
        <v>11104.402428165269</v>
      </c>
      <c r="AE31" s="210">
        <f t="shared" si="18"/>
        <v>11104.402428165269</v>
      </c>
      <c r="AF31" s="210">
        <f t="shared" si="18"/>
        <v>11006.000338955682</v>
      </c>
      <c r="AG31" s="210">
        <f t="shared" si="18"/>
        <v>10907.598249746094</v>
      </c>
      <c r="AH31" s="210">
        <f t="shared" si="18"/>
        <v>10809.196160536507</v>
      </c>
      <c r="AI31" s="210">
        <f t="shared" si="18"/>
        <v>10710.794071326918</v>
      </c>
      <c r="AJ31" s="210">
        <f t="shared" si="19"/>
        <v>10612.391982117331</v>
      </c>
      <c r="AK31" s="210">
        <f t="shared" si="19"/>
        <v>10513.989892907744</v>
      </c>
      <c r="AL31" s="210">
        <f t="shared" si="19"/>
        <v>10415.587803698156</v>
      </c>
      <c r="AM31" s="210">
        <f t="shared" si="19"/>
        <v>10317.185714488569</v>
      </c>
      <c r="AN31" s="210">
        <f t="shared" si="19"/>
        <v>10218.78362527898</v>
      </c>
      <c r="AO31" s="210">
        <f t="shared" si="19"/>
        <v>10120.381536069393</v>
      </c>
      <c r="AP31" s="210">
        <f t="shared" si="19"/>
        <v>10021.979446859805</v>
      </c>
      <c r="AQ31" s="210">
        <f t="shared" si="19"/>
        <v>9923.5773576502179</v>
      </c>
      <c r="AR31" s="210">
        <f t="shared" si="19"/>
        <v>9825.175268440631</v>
      </c>
      <c r="AS31" s="210">
        <f t="shared" si="19"/>
        <v>9726.7731792310424</v>
      </c>
      <c r="AT31" s="210">
        <f t="shared" si="20"/>
        <v>9628.3710900214555</v>
      </c>
      <c r="AU31" s="210">
        <f t="shared" si="20"/>
        <v>9529.9690008118669</v>
      </c>
      <c r="AV31" s="210">
        <f t="shared" si="20"/>
        <v>9431.56691160228</v>
      </c>
      <c r="AW31" s="210">
        <f t="shared" si="20"/>
        <v>9333.1648223926932</v>
      </c>
      <c r="AX31" s="210">
        <f t="shared" si="20"/>
        <v>9234.7627331831045</v>
      </c>
      <c r="AY31" s="210">
        <f t="shared" si="20"/>
        <v>9136.3606439735177</v>
      </c>
      <c r="AZ31" s="210">
        <f t="shared" si="20"/>
        <v>9037.958554763929</v>
      </c>
      <c r="BA31" s="210">
        <f t="shared" si="20"/>
        <v>8939.5564655543421</v>
      </c>
      <c r="BB31" s="210">
        <f t="shared" si="20"/>
        <v>8841.1543763447553</v>
      </c>
      <c r="BC31" s="210">
        <f t="shared" si="20"/>
        <v>8742.7522871351666</v>
      </c>
      <c r="BD31" s="210">
        <f t="shared" si="21"/>
        <v>8644.3501979255798</v>
      </c>
      <c r="BE31" s="210">
        <f t="shared" si="21"/>
        <v>8545.9481087159911</v>
      </c>
      <c r="BF31" s="210">
        <f t="shared" si="21"/>
        <v>8447.5460195064043</v>
      </c>
      <c r="BG31" s="210">
        <f t="shared" si="21"/>
        <v>8349.1439302968174</v>
      </c>
      <c r="BH31" s="210">
        <f t="shared" si="21"/>
        <v>8250.7418410872287</v>
      </c>
      <c r="BI31" s="210">
        <f t="shared" si="21"/>
        <v>8152.3397518776419</v>
      </c>
      <c r="BJ31" s="210">
        <f t="shared" si="21"/>
        <v>8053.9376626680532</v>
      </c>
      <c r="BK31" s="210">
        <f t="shared" si="21"/>
        <v>7955.5355734584664</v>
      </c>
      <c r="BL31" s="210">
        <f t="shared" si="21"/>
        <v>7857.1334842488777</v>
      </c>
      <c r="BM31" s="210">
        <f t="shared" si="21"/>
        <v>7758.7313950392909</v>
      </c>
      <c r="BN31" s="210">
        <f t="shared" si="22"/>
        <v>7660.3293058297031</v>
      </c>
      <c r="BO31" s="210">
        <f t="shared" si="22"/>
        <v>7561.9272166201154</v>
      </c>
      <c r="BP31" s="210">
        <f t="shared" si="22"/>
        <v>7463.5251274105285</v>
      </c>
      <c r="BQ31" s="210">
        <f t="shared" si="22"/>
        <v>8048.9833908154878</v>
      </c>
      <c r="BR31" s="210">
        <f t="shared" si="22"/>
        <v>9318.3020068349942</v>
      </c>
      <c r="BS31" s="210">
        <f t="shared" si="22"/>
        <v>10587.620622854502</v>
      </c>
      <c r="BT31" s="210">
        <f t="shared" si="22"/>
        <v>11856.939238874009</v>
      </c>
      <c r="BU31" s="210">
        <f t="shared" si="22"/>
        <v>13126.257854893514</v>
      </c>
      <c r="BV31" s="210">
        <f t="shared" si="22"/>
        <v>14395.576470913022</v>
      </c>
      <c r="BW31" s="210">
        <f t="shared" si="22"/>
        <v>15664.895086932527</v>
      </c>
      <c r="BX31" s="210">
        <f t="shared" si="23"/>
        <v>16934.213702952035</v>
      </c>
      <c r="BY31" s="210">
        <f t="shared" si="23"/>
        <v>18203.532318971542</v>
      </c>
      <c r="BZ31" s="210">
        <f t="shared" si="23"/>
        <v>19472.850934991049</v>
      </c>
      <c r="CA31" s="210">
        <f t="shared" si="23"/>
        <v>20742.169551010556</v>
      </c>
      <c r="CB31" s="210">
        <f t="shared" si="23"/>
        <v>22011.48816703006</v>
      </c>
      <c r="CC31" s="210">
        <f t="shared" si="23"/>
        <v>23280.806783049567</v>
      </c>
      <c r="CD31" s="210">
        <f t="shared" si="23"/>
        <v>24550.125399069075</v>
      </c>
      <c r="CE31" s="210">
        <f t="shared" si="23"/>
        <v>25819.444015088582</v>
      </c>
      <c r="CF31" s="210">
        <f t="shared" si="23"/>
        <v>27088.762631108089</v>
      </c>
      <c r="CG31" s="210">
        <f t="shared" si="23"/>
        <v>28358.081247127597</v>
      </c>
      <c r="CH31" s="210">
        <f t="shared" si="24"/>
        <v>29627.399863147104</v>
      </c>
      <c r="CI31" s="210">
        <f t="shared" si="24"/>
        <v>30896.718479166611</v>
      </c>
      <c r="CJ31" s="210">
        <f t="shared" si="24"/>
        <v>32166.037095186119</v>
      </c>
      <c r="CK31" s="210">
        <f t="shared" si="24"/>
        <v>31488.668547068035</v>
      </c>
      <c r="CL31" s="210">
        <f t="shared" si="24"/>
        <v>28864.612834812368</v>
      </c>
      <c r="CM31" s="210">
        <f t="shared" si="24"/>
        <v>26240.557122556696</v>
      </c>
      <c r="CN31" s="210">
        <f t="shared" si="24"/>
        <v>23616.501410301025</v>
      </c>
      <c r="CO31" s="210">
        <f t="shared" si="24"/>
        <v>20992.445698045358</v>
      </c>
      <c r="CP31" s="210">
        <f t="shared" si="24"/>
        <v>18368.38998578969</v>
      </c>
      <c r="CQ31" s="210">
        <f t="shared" si="24"/>
        <v>15744.334273534019</v>
      </c>
      <c r="CR31" s="210">
        <f t="shared" si="25"/>
        <v>13120.278561278348</v>
      </c>
      <c r="CS31" s="210">
        <f t="shared" si="25"/>
        <v>10496.222849022681</v>
      </c>
      <c r="CT31" s="210">
        <f t="shared" si="25"/>
        <v>7872.167136767006</v>
      </c>
      <c r="CU31" s="210">
        <f t="shared" si="25"/>
        <v>5248.1114245113386</v>
      </c>
      <c r="CV31" s="210">
        <f t="shared" si="25"/>
        <v>2624.0557122556711</v>
      </c>
      <c r="CW31" s="210">
        <f t="shared" si="25"/>
        <v>0</v>
      </c>
      <c r="CX31" s="210">
        <f t="shared" si="25"/>
        <v>0</v>
      </c>
      <c r="CY31" s="210">
        <f t="shared" si="25"/>
        <v>0</v>
      </c>
      <c r="CZ31" s="210">
        <f t="shared" si="25"/>
        <v>0</v>
      </c>
      <c r="DA31" s="210">
        <f t="shared" si="25"/>
        <v>0</v>
      </c>
    </row>
    <row r="32" spans="1:105">
      <c r="A32" s="201" t="str">
        <f>Income!A79</f>
        <v>Labour - formal emp</v>
      </c>
      <c r="B32" s="203">
        <f>Income!B79</f>
        <v>0</v>
      </c>
      <c r="C32" s="203">
        <f>Income!C79</f>
        <v>0</v>
      </c>
      <c r="D32" s="203">
        <f>Income!D79</f>
        <v>0</v>
      </c>
      <c r="E32" s="203">
        <f>Income!E79</f>
        <v>113008.64932663579</v>
      </c>
      <c r="F32" s="210">
        <f t="shared" si="16"/>
        <v>0</v>
      </c>
      <c r="G32" s="210">
        <f t="shared" si="16"/>
        <v>0</v>
      </c>
      <c r="H32" s="210">
        <f t="shared" si="16"/>
        <v>0</v>
      </c>
      <c r="I32" s="210">
        <f t="shared" si="16"/>
        <v>0</v>
      </c>
      <c r="J32" s="210">
        <f t="shared" si="16"/>
        <v>0</v>
      </c>
      <c r="K32" s="210">
        <f t="shared" si="16"/>
        <v>0</v>
      </c>
      <c r="L32" s="210">
        <f t="shared" si="16"/>
        <v>0</v>
      </c>
      <c r="M32" s="210">
        <f t="shared" si="16"/>
        <v>0</v>
      </c>
      <c r="N32" s="210">
        <f t="shared" si="16"/>
        <v>0</v>
      </c>
      <c r="O32" s="210">
        <f t="shared" si="16"/>
        <v>0</v>
      </c>
      <c r="P32" s="210">
        <f t="shared" si="17"/>
        <v>0</v>
      </c>
      <c r="Q32" s="210">
        <f t="shared" si="17"/>
        <v>0</v>
      </c>
      <c r="R32" s="210">
        <f t="shared" si="17"/>
        <v>0</v>
      </c>
      <c r="S32" s="210">
        <f t="shared" si="17"/>
        <v>0</v>
      </c>
      <c r="T32" s="210">
        <f t="shared" si="17"/>
        <v>0</v>
      </c>
      <c r="U32" s="210">
        <f t="shared" si="17"/>
        <v>0</v>
      </c>
      <c r="V32" s="210">
        <f t="shared" si="17"/>
        <v>0</v>
      </c>
      <c r="W32" s="210">
        <f t="shared" si="17"/>
        <v>0</v>
      </c>
      <c r="X32" s="210">
        <f t="shared" si="17"/>
        <v>0</v>
      </c>
      <c r="Y32" s="210">
        <f t="shared" si="17"/>
        <v>0</v>
      </c>
      <c r="Z32" s="210">
        <f t="shared" si="18"/>
        <v>0</v>
      </c>
      <c r="AA32" s="210">
        <f t="shared" si="18"/>
        <v>0</v>
      </c>
      <c r="AB32" s="210">
        <f t="shared" si="18"/>
        <v>0</v>
      </c>
      <c r="AC32" s="210">
        <f t="shared" si="18"/>
        <v>0</v>
      </c>
      <c r="AD32" s="210">
        <f t="shared" si="18"/>
        <v>0</v>
      </c>
      <c r="AE32" s="210">
        <f t="shared" si="18"/>
        <v>0</v>
      </c>
      <c r="AF32" s="210">
        <f t="shared" si="18"/>
        <v>0</v>
      </c>
      <c r="AG32" s="210">
        <f t="shared" si="18"/>
        <v>0</v>
      </c>
      <c r="AH32" s="210">
        <f t="shared" si="18"/>
        <v>0</v>
      </c>
      <c r="AI32" s="210">
        <f t="shared" si="18"/>
        <v>0</v>
      </c>
      <c r="AJ32" s="210">
        <f t="shared" si="19"/>
        <v>0</v>
      </c>
      <c r="AK32" s="210">
        <f t="shared" si="19"/>
        <v>0</v>
      </c>
      <c r="AL32" s="210">
        <f t="shared" si="19"/>
        <v>0</v>
      </c>
      <c r="AM32" s="210">
        <f t="shared" si="19"/>
        <v>0</v>
      </c>
      <c r="AN32" s="210">
        <f t="shared" si="19"/>
        <v>0</v>
      </c>
      <c r="AO32" s="210">
        <f t="shared" si="19"/>
        <v>0</v>
      </c>
      <c r="AP32" s="210">
        <f t="shared" si="19"/>
        <v>0</v>
      </c>
      <c r="AQ32" s="210">
        <f t="shared" si="19"/>
        <v>0</v>
      </c>
      <c r="AR32" s="210">
        <f t="shared" si="19"/>
        <v>0</v>
      </c>
      <c r="AS32" s="210">
        <f t="shared" si="19"/>
        <v>0</v>
      </c>
      <c r="AT32" s="210">
        <f t="shared" si="20"/>
        <v>0</v>
      </c>
      <c r="AU32" s="210">
        <f t="shared" si="20"/>
        <v>0</v>
      </c>
      <c r="AV32" s="210">
        <f t="shared" si="20"/>
        <v>0</v>
      </c>
      <c r="AW32" s="210">
        <f t="shared" si="20"/>
        <v>0</v>
      </c>
      <c r="AX32" s="210">
        <f t="shared" si="20"/>
        <v>0</v>
      </c>
      <c r="AY32" s="210">
        <f t="shared" si="20"/>
        <v>0</v>
      </c>
      <c r="AZ32" s="210">
        <f t="shared" si="20"/>
        <v>0</v>
      </c>
      <c r="BA32" s="210">
        <f t="shared" si="20"/>
        <v>0</v>
      </c>
      <c r="BB32" s="210">
        <f t="shared" si="20"/>
        <v>0</v>
      </c>
      <c r="BC32" s="210">
        <f t="shared" si="20"/>
        <v>0</v>
      </c>
      <c r="BD32" s="210">
        <f t="shared" si="21"/>
        <v>0</v>
      </c>
      <c r="BE32" s="210">
        <f t="shared" si="21"/>
        <v>0</v>
      </c>
      <c r="BF32" s="210">
        <f t="shared" si="21"/>
        <v>0</v>
      </c>
      <c r="BG32" s="210">
        <f t="shared" si="21"/>
        <v>0</v>
      </c>
      <c r="BH32" s="210">
        <f t="shared" si="21"/>
        <v>0</v>
      </c>
      <c r="BI32" s="210">
        <f t="shared" si="21"/>
        <v>0</v>
      </c>
      <c r="BJ32" s="210">
        <f t="shared" si="21"/>
        <v>0</v>
      </c>
      <c r="BK32" s="210">
        <f t="shared" si="21"/>
        <v>0</v>
      </c>
      <c r="BL32" s="210">
        <f t="shared" si="21"/>
        <v>0</v>
      </c>
      <c r="BM32" s="210">
        <f t="shared" si="21"/>
        <v>0</v>
      </c>
      <c r="BN32" s="210">
        <f t="shared" si="22"/>
        <v>0</v>
      </c>
      <c r="BO32" s="210">
        <f t="shared" si="22"/>
        <v>0</v>
      </c>
      <c r="BP32" s="210">
        <f t="shared" si="22"/>
        <v>0</v>
      </c>
      <c r="BQ32" s="210">
        <f t="shared" si="22"/>
        <v>0</v>
      </c>
      <c r="BR32" s="210">
        <f t="shared" si="22"/>
        <v>0</v>
      </c>
      <c r="BS32" s="210">
        <f t="shared" si="22"/>
        <v>0</v>
      </c>
      <c r="BT32" s="210">
        <f t="shared" si="22"/>
        <v>0</v>
      </c>
      <c r="BU32" s="210">
        <f t="shared" si="22"/>
        <v>0</v>
      </c>
      <c r="BV32" s="210">
        <f t="shared" si="22"/>
        <v>0</v>
      </c>
      <c r="BW32" s="210">
        <f t="shared" si="22"/>
        <v>0</v>
      </c>
      <c r="BX32" s="210">
        <f t="shared" si="23"/>
        <v>0</v>
      </c>
      <c r="BY32" s="210">
        <f t="shared" si="23"/>
        <v>0</v>
      </c>
      <c r="BZ32" s="210">
        <f t="shared" si="23"/>
        <v>0</v>
      </c>
      <c r="CA32" s="210">
        <f t="shared" si="23"/>
        <v>0</v>
      </c>
      <c r="CB32" s="210">
        <f t="shared" si="23"/>
        <v>0</v>
      </c>
      <c r="CC32" s="210">
        <f t="shared" si="23"/>
        <v>0</v>
      </c>
      <c r="CD32" s="210">
        <f t="shared" si="23"/>
        <v>0</v>
      </c>
      <c r="CE32" s="210">
        <f t="shared" si="23"/>
        <v>0</v>
      </c>
      <c r="CF32" s="210">
        <f t="shared" si="23"/>
        <v>0</v>
      </c>
      <c r="CG32" s="210">
        <f t="shared" si="23"/>
        <v>0</v>
      </c>
      <c r="CH32" s="210">
        <f t="shared" si="24"/>
        <v>0</v>
      </c>
      <c r="CI32" s="210">
        <f t="shared" si="24"/>
        <v>0</v>
      </c>
      <c r="CJ32" s="210">
        <f t="shared" si="24"/>
        <v>0</v>
      </c>
      <c r="CK32" s="210">
        <f t="shared" si="24"/>
        <v>4520.3459730654313</v>
      </c>
      <c r="CL32" s="210">
        <f t="shared" si="24"/>
        <v>13561.037919196295</v>
      </c>
      <c r="CM32" s="210">
        <f t="shared" si="24"/>
        <v>22601.729865327157</v>
      </c>
      <c r="CN32" s="210">
        <f t="shared" si="24"/>
        <v>31642.421811458022</v>
      </c>
      <c r="CO32" s="210">
        <f t="shared" si="24"/>
        <v>40683.113757588879</v>
      </c>
      <c r="CP32" s="210">
        <f t="shared" si="24"/>
        <v>49723.805703719743</v>
      </c>
      <c r="CQ32" s="210">
        <f t="shared" si="24"/>
        <v>58764.497649850615</v>
      </c>
      <c r="CR32" s="210">
        <f t="shared" si="25"/>
        <v>67805.189595981472</v>
      </c>
      <c r="CS32" s="210">
        <f t="shared" si="25"/>
        <v>76845.881542112329</v>
      </c>
      <c r="CT32" s="210">
        <f t="shared" si="25"/>
        <v>85886.573488243201</v>
      </c>
      <c r="CU32" s="210">
        <f t="shared" si="25"/>
        <v>94927.265434374058</v>
      </c>
      <c r="CV32" s="210">
        <f t="shared" si="25"/>
        <v>103967.95738050493</v>
      </c>
      <c r="CW32" s="210">
        <f t="shared" si="25"/>
        <v>113008.64932663579</v>
      </c>
      <c r="CX32" s="210">
        <f t="shared" si="25"/>
        <v>113008.64932663579</v>
      </c>
      <c r="CY32" s="210">
        <f t="shared" si="25"/>
        <v>113008.64932663579</v>
      </c>
      <c r="CZ32" s="210">
        <f t="shared" si="25"/>
        <v>113008.64932663579</v>
      </c>
      <c r="DA32" s="210">
        <f t="shared" si="25"/>
        <v>113008.64932663579</v>
      </c>
    </row>
    <row r="33" spans="1:105">
      <c r="A33" s="201" t="str">
        <f>Income!A81</f>
        <v>Self - employment</v>
      </c>
      <c r="B33" s="203">
        <f>Income!B81</f>
        <v>0</v>
      </c>
      <c r="C33" s="203">
        <f>Income!C81</f>
        <v>0</v>
      </c>
      <c r="D33" s="203">
        <f>Income!D81</f>
        <v>0</v>
      </c>
      <c r="E33" s="203">
        <f>Income!E81</f>
        <v>0</v>
      </c>
      <c r="F33" s="210">
        <f t="shared" si="16"/>
        <v>0</v>
      </c>
      <c r="G33" s="210">
        <f t="shared" si="16"/>
        <v>0</v>
      </c>
      <c r="H33" s="210">
        <f t="shared" si="16"/>
        <v>0</v>
      </c>
      <c r="I33" s="210">
        <f t="shared" si="16"/>
        <v>0</v>
      </c>
      <c r="J33" s="210">
        <f t="shared" si="16"/>
        <v>0</v>
      </c>
      <c r="K33" s="210">
        <f t="shared" si="16"/>
        <v>0</v>
      </c>
      <c r="L33" s="210">
        <f t="shared" si="16"/>
        <v>0</v>
      </c>
      <c r="M33" s="210">
        <f t="shared" si="16"/>
        <v>0</v>
      </c>
      <c r="N33" s="210">
        <f t="shared" si="16"/>
        <v>0</v>
      </c>
      <c r="O33" s="210">
        <f t="shared" si="16"/>
        <v>0</v>
      </c>
      <c r="P33" s="210">
        <f t="shared" si="17"/>
        <v>0</v>
      </c>
      <c r="Q33" s="210">
        <f t="shared" si="17"/>
        <v>0</v>
      </c>
      <c r="R33" s="210">
        <f t="shared" si="17"/>
        <v>0</v>
      </c>
      <c r="S33" s="210">
        <f t="shared" si="17"/>
        <v>0</v>
      </c>
      <c r="T33" s="210">
        <f t="shared" si="17"/>
        <v>0</v>
      </c>
      <c r="U33" s="210">
        <f t="shared" si="17"/>
        <v>0</v>
      </c>
      <c r="V33" s="210">
        <f t="shared" si="17"/>
        <v>0</v>
      </c>
      <c r="W33" s="210">
        <f t="shared" si="17"/>
        <v>0</v>
      </c>
      <c r="X33" s="210">
        <f t="shared" si="17"/>
        <v>0</v>
      </c>
      <c r="Y33" s="210">
        <f t="shared" si="17"/>
        <v>0</v>
      </c>
      <c r="Z33" s="210">
        <f t="shared" si="18"/>
        <v>0</v>
      </c>
      <c r="AA33" s="210">
        <f t="shared" si="18"/>
        <v>0</v>
      </c>
      <c r="AB33" s="210">
        <f t="shared" si="18"/>
        <v>0</v>
      </c>
      <c r="AC33" s="210">
        <f t="shared" si="18"/>
        <v>0</v>
      </c>
      <c r="AD33" s="210">
        <f t="shared" si="18"/>
        <v>0</v>
      </c>
      <c r="AE33" s="210">
        <f t="shared" si="18"/>
        <v>0</v>
      </c>
      <c r="AF33" s="210">
        <f t="shared" si="18"/>
        <v>0</v>
      </c>
      <c r="AG33" s="210">
        <f t="shared" si="18"/>
        <v>0</v>
      </c>
      <c r="AH33" s="210">
        <f t="shared" si="18"/>
        <v>0</v>
      </c>
      <c r="AI33" s="210">
        <f t="shared" si="18"/>
        <v>0</v>
      </c>
      <c r="AJ33" s="210">
        <f t="shared" si="19"/>
        <v>0</v>
      </c>
      <c r="AK33" s="210">
        <f t="shared" si="19"/>
        <v>0</v>
      </c>
      <c r="AL33" s="210">
        <f t="shared" si="19"/>
        <v>0</v>
      </c>
      <c r="AM33" s="210">
        <f t="shared" si="19"/>
        <v>0</v>
      </c>
      <c r="AN33" s="210">
        <f t="shared" si="19"/>
        <v>0</v>
      </c>
      <c r="AO33" s="210">
        <f t="shared" si="19"/>
        <v>0</v>
      </c>
      <c r="AP33" s="210">
        <f t="shared" si="19"/>
        <v>0</v>
      </c>
      <c r="AQ33" s="210">
        <f t="shared" si="19"/>
        <v>0</v>
      </c>
      <c r="AR33" s="210">
        <f t="shared" si="19"/>
        <v>0</v>
      </c>
      <c r="AS33" s="210">
        <f t="shared" si="19"/>
        <v>0</v>
      </c>
      <c r="AT33" s="210">
        <f t="shared" si="20"/>
        <v>0</v>
      </c>
      <c r="AU33" s="210">
        <f t="shared" si="20"/>
        <v>0</v>
      </c>
      <c r="AV33" s="210">
        <f t="shared" si="20"/>
        <v>0</v>
      </c>
      <c r="AW33" s="210">
        <f t="shared" si="20"/>
        <v>0</v>
      </c>
      <c r="AX33" s="210">
        <f t="shared" si="20"/>
        <v>0</v>
      </c>
      <c r="AY33" s="210">
        <f t="shared" si="20"/>
        <v>0</v>
      </c>
      <c r="AZ33" s="210">
        <f t="shared" si="20"/>
        <v>0</v>
      </c>
      <c r="BA33" s="210">
        <f t="shared" si="20"/>
        <v>0</v>
      </c>
      <c r="BB33" s="210">
        <f t="shared" si="20"/>
        <v>0</v>
      </c>
      <c r="BC33" s="210">
        <f t="shared" si="20"/>
        <v>0</v>
      </c>
      <c r="BD33" s="210">
        <f t="shared" si="21"/>
        <v>0</v>
      </c>
      <c r="BE33" s="210">
        <f t="shared" si="21"/>
        <v>0</v>
      </c>
      <c r="BF33" s="210">
        <f t="shared" si="21"/>
        <v>0</v>
      </c>
      <c r="BG33" s="210">
        <f t="shared" si="21"/>
        <v>0</v>
      </c>
      <c r="BH33" s="210">
        <f t="shared" si="21"/>
        <v>0</v>
      </c>
      <c r="BI33" s="210">
        <f t="shared" si="21"/>
        <v>0</v>
      </c>
      <c r="BJ33" s="210">
        <f t="shared" si="21"/>
        <v>0</v>
      </c>
      <c r="BK33" s="210">
        <f t="shared" si="21"/>
        <v>0</v>
      </c>
      <c r="BL33" s="210">
        <f t="shared" si="21"/>
        <v>0</v>
      </c>
      <c r="BM33" s="210">
        <f t="shared" si="21"/>
        <v>0</v>
      </c>
      <c r="BN33" s="210">
        <f t="shared" si="22"/>
        <v>0</v>
      </c>
      <c r="BO33" s="210">
        <f t="shared" si="22"/>
        <v>0</v>
      </c>
      <c r="BP33" s="210">
        <f t="shared" si="22"/>
        <v>0</v>
      </c>
      <c r="BQ33" s="210">
        <f t="shared" si="22"/>
        <v>0</v>
      </c>
      <c r="BR33" s="210">
        <f t="shared" si="22"/>
        <v>0</v>
      </c>
      <c r="BS33" s="210">
        <f t="shared" si="22"/>
        <v>0</v>
      </c>
      <c r="BT33" s="210">
        <f t="shared" si="22"/>
        <v>0</v>
      </c>
      <c r="BU33" s="210">
        <f t="shared" si="22"/>
        <v>0</v>
      </c>
      <c r="BV33" s="210">
        <f t="shared" si="22"/>
        <v>0</v>
      </c>
      <c r="BW33" s="210">
        <f t="shared" si="22"/>
        <v>0</v>
      </c>
      <c r="BX33" s="210">
        <f t="shared" si="23"/>
        <v>0</v>
      </c>
      <c r="BY33" s="210">
        <f t="shared" si="23"/>
        <v>0</v>
      </c>
      <c r="BZ33" s="210">
        <f t="shared" si="23"/>
        <v>0</v>
      </c>
      <c r="CA33" s="210">
        <f t="shared" si="23"/>
        <v>0</v>
      </c>
      <c r="CB33" s="210">
        <f t="shared" si="23"/>
        <v>0</v>
      </c>
      <c r="CC33" s="210">
        <f t="shared" si="23"/>
        <v>0</v>
      </c>
      <c r="CD33" s="210">
        <f t="shared" si="23"/>
        <v>0</v>
      </c>
      <c r="CE33" s="210">
        <f t="shared" si="23"/>
        <v>0</v>
      </c>
      <c r="CF33" s="210">
        <f t="shared" si="23"/>
        <v>0</v>
      </c>
      <c r="CG33" s="210">
        <f t="shared" si="23"/>
        <v>0</v>
      </c>
      <c r="CH33" s="210">
        <f t="shared" si="24"/>
        <v>0</v>
      </c>
      <c r="CI33" s="210">
        <f t="shared" si="24"/>
        <v>0</v>
      </c>
      <c r="CJ33" s="210">
        <f t="shared" si="24"/>
        <v>0</v>
      </c>
      <c r="CK33" s="210">
        <f t="shared" si="24"/>
        <v>0</v>
      </c>
      <c r="CL33" s="210">
        <f t="shared" si="24"/>
        <v>0</v>
      </c>
      <c r="CM33" s="210">
        <f t="shared" si="24"/>
        <v>0</v>
      </c>
      <c r="CN33" s="210">
        <f t="shared" si="24"/>
        <v>0</v>
      </c>
      <c r="CO33" s="210">
        <f t="shared" si="24"/>
        <v>0</v>
      </c>
      <c r="CP33" s="210">
        <f t="shared" si="24"/>
        <v>0</v>
      </c>
      <c r="CQ33" s="210">
        <f t="shared" si="24"/>
        <v>0</v>
      </c>
      <c r="CR33" s="210">
        <f t="shared" si="25"/>
        <v>0</v>
      </c>
      <c r="CS33" s="210">
        <f t="shared" si="25"/>
        <v>0</v>
      </c>
      <c r="CT33" s="210">
        <f t="shared" si="25"/>
        <v>0</v>
      </c>
      <c r="CU33" s="210">
        <f t="shared" si="25"/>
        <v>0</v>
      </c>
      <c r="CV33" s="210">
        <f t="shared" si="25"/>
        <v>0</v>
      </c>
      <c r="CW33" s="210">
        <f t="shared" si="25"/>
        <v>0</v>
      </c>
      <c r="CX33" s="210">
        <f t="shared" si="25"/>
        <v>0</v>
      </c>
      <c r="CY33" s="210">
        <f t="shared" si="25"/>
        <v>0</v>
      </c>
      <c r="CZ33" s="210">
        <f t="shared" si="25"/>
        <v>0</v>
      </c>
      <c r="DA33" s="210">
        <f t="shared" si="25"/>
        <v>0</v>
      </c>
    </row>
    <row r="34" spans="1:105">
      <c r="A34" s="201" t="str">
        <f>Income!A82</f>
        <v>Small business/petty trading</v>
      </c>
      <c r="B34" s="203">
        <f>Income!B82</f>
        <v>0</v>
      </c>
      <c r="C34" s="203">
        <f>Income!C82</f>
        <v>0</v>
      </c>
      <c r="D34" s="203">
        <f>Income!D82</f>
        <v>13017.776385018364</v>
      </c>
      <c r="E34" s="203">
        <f>Income!E82</f>
        <v>93725.427417725718</v>
      </c>
      <c r="F34" s="210">
        <f t="shared" si="16"/>
        <v>0</v>
      </c>
      <c r="G34" s="210">
        <f t="shared" si="16"/>
        <v>0</v>
      </c>
      <c r="H34" s="210">
        <f t="shared" si="16"/>
        <v>0</v>
      </c>
      <c r="I34" s="210">
        <f t="shared" si="16"/>
        <v>0</v>
      </c>
      <c r="J34" s="210">
        <f t="shared" si="16"/>
        <v>0</v>
      </c>
      <c r="K34" s="210">
        <f t="shared" si="16"/>
        <v>0</v>
      </c>
      <c r="L34" s="210">
        <f t="shared" si="16"/>
        <v>0</v>
      </c>
      <c r="M34" s="210">
        <f t="shared" si="16"/>
        <v>0</v>
      </c>
      <c r="N34" s="210">
        <f t="shared" si="16"/>
        <v>0</v>
      </c>
      <c r="O34" s="210">
        <f t="shared" si="16"/>
        <v>0</v>
      </c>
      <c r="P34" s="210">
        <f t="shared" si="17"/>
        <v>0</v>
      </c>
      <c r="Q34" s="210">
        <f t="shared" si="17"/>
        <v>0</v>
      </c>
      <c r="R34" s="210">
        <f t="shared" si="17"/>
        <v>0</v>
      </c>
      <c r="S34" s="210">
        <f t="shared" si="17"/>
        <v>0</v>
      </c>
      <c r="T34" s="210">
        <f t="shared" si="17"/>
        <v>0</v>
      </c>
      <c r="U34" s="210">
        <f t="shared" si="17"/>
        <v>0</v>
      </c>
      <c r="V34" s="210">
        <f t="shared" si="17"/>
        <v>0</v>
      </c>
      <c r="W34" s="210">
        <f t="shared" si="17"/>
        <v>0</v>
      </c>
      <c r="X34" s="210">
        <f t="shared" si="17"/>
        <v>0</v>
      </c>
      <c r="Y34" s="210">
        <f t="shared" si="17"/>
        <v>0</v>
      </c>
      <c r="Z34" s="210">
        <f t="shared" si="18"/>
        <v>0</v>
      </c>
      <c r="AA34" s="210">
        <f t="shared" si="18"/>
        <v>0</v>
      </c>
      <c r="AB34" s="210">
        <f t="shared" si="18"/>
        <v>0</v>
      </c>
      <c r="AC34" s="210">
        <f t="shared" si="18"/>
        <v>0</v>
      </c>
      <c r="AD34" s="210">
        <f t="shared" si="18"/>
        <v>0</v>
      </c>
      <c r="AE34" s="210">
        <f t="shared" si="18"/>
        <v>0</v>
      </c>
      <c r="AF34" s="210">
        <f t="shared" si="18"/>
        <v>0</v>
      </c>
      <c r="AG34" s="210">
        <f t="shared" si="18"/>
        <v>0</v>
      </c>
      <c r="AH34" s="210">
        <f t="shared" si="18"/>
        <v>0</v>
      </c>
      <c r="AI34" s="210">
        <f t="shared" si="18"/>
        <v>0</v>
      </c>
      <c r="AJ34" s="210">
        <f t="shared" si="19"/>
        <v>0</v>
      </c>
      <c r="AK34" s="210">
        <f t="shared" si="19"/>
        <v>0</v>
      </c>
      <c r="AL34" s="210">
        <f t="shared" si="19"/>
        <v>0</v>
      </c>
      <c r="AM34" s="210">
        <f t="shared" si="19"/>
        <v>0</v>
      </c>
      <c r="AN34" s="210">
        <f t="shared" si="19"/>
        <v>0</v>
      </c>
      <c r="AO34" s="210">
        <f t="shared" si="19"/>
        <v>0</v>
      </c>
      <c r="AP34" s="210">
        <f t="shared" si="19"/>
        <v>0</v>
      </c>
      <c r="AQ34" s="210">
        <f t="shared" si="19"/>
        <v>0</v>
      </c>
      <c r="AR34" s="210">
        <f t="shared" si="19"/>
        <v>0</v>
      </c>
      <c r="AS34" s="210">
        <f t="shared" si="19"/>
        <v>0</v>
      </c>
      <c r="AT34" s="210">
        <f t="shared" si="20"/>
        <v>0</v>
      </c>
      <c r="AU34" s="210">
        <f t="shared" si="20"/>
        <v>0</v>
      </c>
      <c r="AV34" s="210">
        <f t="shared" si="20"/>
        <v>0</v>
      </c>
      <c r="AW34" s="210">
        <f t="shared" si="20"/>
        <v>0</v>
      </c>
      <c r="AX34" s="210">
        <f t="shared" si="20"/>
        <v>0</v>
      </c>
      <c r="AY34" s="210">
        <f t="shared" si="20"/>
        <v>0</v>
      </c>
      <c r="AZ34" s="210">
        <f t="shared" si="20"/>
        <v>0</v>
      </c>
      <c r="BA34" s="210">
        <f t="shared" si="20"/>
        <v>0</v>
      </c>
      <c r="BB34" s="210">
        <f t="shared" si="20"/>
        <v>0</v>
      </c>
      <c r="BC34" s="210">
        <f t="shared" si="20"/>
        <v>0</v>
      </c>
      <c r="BD34" s="210">
        <f t="shared" si="21"/>
        <v>0</v>
      </c>
      <c r="BE34" s="210">
        <f t="shared" si="21"/>
        <v>0</v>
      </c>
      <c r="BF34" s="210">
        <f t="shared" si="21"/>
        <v>0</v>
      </c>
      <c r="BG34" s="210">
        <f t="shared" si="21"/>
        <v>0</v>
      </c>
      <c r="BH34" s="210">
        <f t="shared" si="21"/>
        <v>0</v>
      </c>
      <c r="BI34" s="210">
        <f t="shared" si="21"/>
        <v>0</v>
      </c>
      <c r="BJ34" s="210">
        <f t="shared" si="21"/>
        <v>0</v>
      </c>
      <c r="BK34" s="210">
        <f t="shared" si="21"/>
        <v>0</v>
      </c>
      <c r="BL34" s="210">
        <f t="shared" si="21"/>
        <v>0</v>
      </c>
      <c r="BM34" s="210">
        <f t="shared" si="21"/>
        <v>0</v>
      </c>
      <c r="BN34" s="210">
        <f t="shared" si="22"/>
        <v>0</v>
      </c>
      <c r="BO34" s="210">
        <f t="shared" si="22"/>
        <v>0</v>
      </c>
      <c r="BP34" s="210">
        <f t="shared" si="22"/>
        <v>0</v>
      </c>
      <c r="BQ34" s="210">
        <f t="shared" si="22"/>
        <v>325.44440962545912</v>
      </c>
      <c r="BR34" s="210">
        <f t="shared" si="22"/>
        <v>976.33322887637735</v>
      </c>
      <c r="BS34" s="210">
        <f t="shared" si="22"/>
        <v>1627.2220481272955</v>
      </c>
      <c r="BT34" s="210">
        <f t="shared" si="22"/>
        <v>2278.1108673782137</v>
      </c>
      <c r="BU34" s="210">
        <f t="shared" si="22"/>
        <v>2928.9996866291322</v>
      </c>
      <c r="BV34" s="210">
        <f t="shared" si="22"/>
        <v>3579.8885058800502</v>
      </c>
      <c r="BW34" s="210">
        <f t="shared" si="22"/>
        <v>4230.7773251309682</v>
      </c>
      <c r="BX34" s="210">
        <f t="shared" si="23"/>
        <v>4881.6661443818866</v>
      </c>
      <c r="BY34" s="210">
        <f t="shared" si="23"/>
        <v>5532.5549636328051</v>
      </c>
      <c r="BZ34" s="210">
        <f t="shared" si="23"/>
        <v>6183.4437828837226</v>
      </c>
      <c r="CA34" s="210">
        <f t="shared" si="23"/>
        <v>6834.3326021346411</v>
      </c>
      <c r="CB34" s="210">
        <f t="shared" si="23"/>
        <v>7485.2214213855596</v>
      </c>
      <c r="CC34" s="210">
        <f t="shared" si="23"/>
        <v>8136.110240636478</v>
      </c>
      <c r="CD34" s="210">
        <f t="shared" si="23"/>
        <v>8786.9990598873956</v>
      </c>
      <c r="CE34" s="210">
        <f t="shared" si="23"/>
        <v>9437.887879138314</v>
      </c>
      <c r="CF34" s="210">
        <f t="shared" si="23"/>
        <v>10088.776698389232</v>
      </c>
      <c r="CG34" s="210">
        <f t="shared" si="23"/>
        <v>10739.665517640151</v>
      </c>
      <c r="CH34" s="210">
        <f t="shared" si="24"/>
        <v>11390.554336891069</v>
      </c>
      <c r="CI34" s="210">
        <f t="shared" si="24"/>
        <v>12041.443156141988</v>
      </c>
      <c r="CJ34" s="210">
        <f t="shared" si="24"/>
        <v>12692.331975392904</v>
      </c>
      <c r="CK34" s="210">
        <f t="shared" si="24"/>
        <v>16246.082426326659</v>
      </c>
      <c r="CL34" s="210">
        <f t="shared" si="24"/>
        <v>22702.694508943245</v>
      </c>
      <c r="CM34" s="210">
        <f t="shared" si="24"/>
        <v>29159.306591559834</v>
      </c>
      <c r="CN34" s="210">
        <f t="shared" si="24"/>
        <v>35615.918674176421</v>
      </c>
      <c r="CO34" s="210">
        <f t="shared" si="24"/>
        <v>42072.530756793007</v>
      </c>
      <c r="CP34" s="210">
        <f t="shared" si="24"/>
        <v>48529.142839409593</v>
      </c>
      <c r="CQ34" s="210">
        <f t="shared" si="24"/>
        <v>54985.754922026186</v>
      </c>
      <c r="CR34" s="210">
        <f t="shared" si="25"/>
        <v>61442.367004642765</v>
      </c>
      <c r="CS34" s="210">
        <f t="shared" si="25"/>
        <v>67898.979087259358</v>
      </c>
      <c r="CT34" s="210">
        <f t="shared" si="25"/>
        <v>74355.591169875945</v>
      </c>
      <c r="CU34" s="210">
        <f t="shared" si="25"/>
        <v>80812.203252492531</v>
      </c>
      <c r="CV34" s="210">
        <f t="shared" si="25"/>
        <v>87268.815335109131</v>
      </c>
      <c r="CW34" s="210">
        <f t="shared" si="25"/>
        <v>93725.427417725718</v>
      </c>
      <c r="CX34" s="210">
        <f t="shared" si="25"/>
        <v>93725.427417725718</v>
      </c>
      <c r="CY34" s="210">
        <f t="shared" si="25"/>
        <v>93725.427417725718</v>
      </c>
      <c r="CZ34" s="210">
        <f t="shared" si="25"/>
        <v>93725.427417725718</v>
      </c>
      <c r="DA34" s="210">
        <f t="shared" si="25"/>
        <v>93725.427417725718</v>
      </c>
    </row>
    <row r="35" spans="1:105">
      <c r="A35" s="201" t="str">
        <f>Income!A83</f>
        <v>Food transfer - official</v>
      </c>
      <c r="B35" s="203">
        <f>Income!B83</f>
        <v>2094.7120172507834</v>
      </c>
      <c r="C35" s="203">
        <f>Income!C83</f>
        <v>2094.7120172507839</v>
      </c>
      <c r="D35" s="203">
        <f>Income!D83</f>
        <v>2094.7120172507834</v>
      </c>
      <c r="E35" s="203">
        <f>Income!E83</f>
        <v>0</v>
      </c>
      <c r="F35" s="210">
        <f t="shared" si="16"/>
        <v>2094.7120172507834</v>
      </c>
      <c r="G35" s="210">
        <f t="shared" si="16"/>
        <v>2094.7120172507834</v>
      </c>
      <c r="H35" s="210">
        <f t="shared" si="16"/>
        <v>2094.7120172507834</v>
      </c>
      <c r="I35" s="210">
        <f t="shared" si="16"/>
        <v>2094.7120172507834</v>
      </c>
      <c r="J35" s="210">
        <f t="shared" si="16"/>
        <v>2094.7120172507834</v>
      </c>
      <c r="K35" s="210">
        <f t="shared" si="16"/>
        <v>2094.7120172507834</v>
      </c>
      <c r="L35" s="210">
        <f t="shared" si="16"/>
        <v>2094.7120172507834</v>
      </c>
      <c r="M35" s="210">
        <f t="shared" si="16"/>
        <v>2094.7120172507834</v>
      </c>
      <c r="N35" s="210">
        <f t="shared" si="16"/>
        <v>2094.7120172507834</v>
      </c>
      <c r="O35" s="210">
        <f t="shared" si="16"/>
        <v>2094.7120172507834</v>
      </c>
      <c r="P35" s="210">
        <f t="shared" si="17"/>
        <v>2094.7120172507834</v>
      </c>
      <c r="Q35" s="210">
        <f t="shared" si="17"/>
        <v>2094.7120172507834</v>
      </c>
      <c r="R35" s="210">
        <f t="shared" si="17"/>
        <v>2094.7120172507834</v>
      </c>
      <c r="S35" s="210">
        <f t="shared" si="17"/>
        <v>2094.7120172507834</v>
      </c>
      <c r="T35" s="210">
        <f t="shared" si="17"/>
        <v>2094.7120172507834</v>
      </c>
      <c r="U35" s="210">
        <f t="shared" si="17"/>
        <v>2094.7120172507834</v>
      </c>
      <c r="V35" s="210">
        <f t="shared" si="17"/>
        <v>2094.7120172507834</v>
      </c>
      <c r="W35" s="210">
        <f t="shared" si="17"/>
        <v>2094.7120172507834</v>
      </c>
      <c r="X35" s="210">
        <f t="shared" si="17"/>
        <v>2094.7120172507834</v>
      </c>
      <c r="Y35" s="210">
        <f t="shared" si="17"/>
        <v>2094.7120172507834</v>
      </c>
      <c r="Z35" s="210">
        <f t="shared" si="18"/>
        <v>2094.7120172507834</v>
      </c>
      <c r="AA35" s="210">
        <f t="shared" si="18"/>
        <v>2094.7120172507834</v>
      </c>
      <c r="AB35" s="210">
        <f t="shared" si="18"/>
        <v>2094.7120172507834</v>
      </c>
      <c r="AC35" s="210">
        <f t="shared" si="18"/>
        <v>2094.7120172507834</v>
      </c>
      <c r="AD35" s="210">
        <f t="shared" si="18"/>
        <v>2094.7120172507834</v>
      </c>
      <c r="AE35" s="210">
        <f t="shared" si="18"/>
        <v>2094.7120172507834</v>
      </c>
      <c r="AF35" s="210">
        <f t="shared" si="18"/>
        <v>2094.7120172507834</v>
      </c>
      <c r="AG35" s="210">
        <f t="shared" si="18"/>
        <v>2094.7120172507834</v>
      </c>
      <c r="AH35" s="210">
        <f t="shared" si="18"/>
        <v>2094.7120172507834</v>
      </c>
      <c r="AI35" s="210">
        <f t="shared" si="18"/>
        <v>2094.7120172507834</v>
      </c>
      <c r="AJ35" s="210">
        <f t="shared" si="19"/>
        <v>2094.7120172507834</v>
      </c>
      <c r="AK35" s="210">
        <f t="shared" si="19"/>
        <v>2094.7120172507834</v>
      </c>
      <c r="AL35" s="210">
        <f t="shared" si="19"/>
        <v>2094.7120172507834</v>
      </c>
      <c r="AM35" s="210">
        <f t="shared" si="19"/>
        <v>2094.7120172507834</v>
      </c>
      <c r="AN35" s="210">
        <f t="shared" si="19"/>
        <v>2094.7120172507834</v>
      </c>
      <c r="AO35" s="210">
        <f t="shared" si="19"/>
        <v>2094.7120172507834</v>
      </c>
      <c r="AP35" s="210">
        <f t="shared" si="19"/>
        <v>2094.7120172507834</v>
      </c>
      <c r="AQ35" s="210">
        <f t="shared" si="19"/>
        <v>2094.7120172507834</v>
      </c>
      <c r="AR35" s="210">
        <f t="shared" si="19"/>
        <v>2094.7120172507834</v>
      </c>
      <c r="AS35" s="210">
        <f t="shared" si="19"/>
        <v>2094.7120172507834</v>
      </c>
      <c r="AT35" s="210">
        <f t="shared" si="20"/>
        <v>2094.7120172507834</v>
      </c>
      <c r="AU35" s="210">
        <f t="shared" si="20"/>
        <v>2094.7120172507834</v>
      </c>
      <c r="AV35" s="210">
        <f t="shared" si="20"/>
        <v>2094.7120172507834</v>
      </c>
      <c r="AW35" s="210">
        <f t="shared" si="20"/>
        <v>2094.7120172507834</v>
      </c>
      <c r="AX35" s="210">
        <f t="shared" si="20"/>
        <v>2094.7120172507839</v>
      </c>
      <c r="AY35" s="210">
        <f t="shared" si="20"/>
        <v>2094.7120172507839</v>
      </c>
      <c r="AZ35" s="210">
        <f t="shared" si="20"/>
        <v>2094.7120172507839</v>
      </c>
      <c r="BA35" s="210">
        <f t="shared" si="20"/>
        <v>2094.7120172507839</v>
      </c>
      <c r="BB35" s="210">
        <f t="shared" si="20"/>
        <v>2094.7120172507839</v>
      </c>
      <c r="BC35" s="210">
        <f t="shared" si="20"/>
        <v>2094.7120172507839</v>
      </c>
      <c r="BD35" s="210">
        <f t="shared" si="21"/>
        <v>2094.7120172507839</v>
      </c>
      <c r="BE35" s="210">
        <f t="shared" si="21"/>
        <v>2094.7120172507839</v>
      </c>
      <c r="BF35" s="210">
        <f t="shared" si="21"/>
        <v>2094.7120172507839</v>
      </c>
      <c r="BG35" s="210">
        <f t="shared" si="21"/>
        <v>2094.7120172507839</v>
      </c>
      <c r="BH35" s="210">
        <f t="shared" si="21"/>
        <v>2094.7120172507839</v>
      </c>
      <c r="BI35" s="210">
        <f t="shared" si="21"/>
        <v>2094.7120172507839</v>
      </c>
      <c r="BJ35" s="210">
        <f t="shared" si="21"/>
        <v>2094.7120172507839</v>
      </c>
      <c r="BK35" s="210">
        <f t="shared" si="21"/>
        <v>2094.7120172507839</v>
      </c>
      <c r="BL35" s="210">
        <f t="shared" si="21"/>
        <v>2094.7120172507839</v>
      </c>
      <c r="BM35" s="210">
        <f t="shared" si="21"/>
        <v>2094.7120172507839</v>
      </c>
      <c r="BN35" s="210">
        <f t="shared" si="22"/>
        <v>2094.7120172507839</v>
      </c>
      <c r="BO35" s="210">
        <f t="shared" si="22"/>
        <v>2094.7120172507839</v>
      </c>
      <c r="BP35" s="210">
        <f t="shared" si="22"/>
        <v>2094.7120172507839</v>
      </c>
      <c r="BQ35" s="210">
        <f t="shared" si="22"/>
        <v>2094.7120172507839</v>
      </c>
      <c r="BR35" s="210">
        <f t="shared" si="22"/>
        <v>2094.7120172507839</v>
      </c>
      <c r="BS35" s="210">
        <f t="shared" si="22"/>
        <v>2094.7120172507839</v>
      </c>
      <c r="BT35" s="210">
        <f t="shared" si="22"/>
        <v>2094.7120172507839</v>
      </c>
      <c r="BU35" s="210">
        <f t="shared" si="22"/>
        <v>2094.7120172507839</v>
      </c>
      <c r="BV35" s="210">
        <f t="shared" si="22"/>
        <v>2094.7120172507839</v>
      </c>
      <c r="BW35" s="210">
        <f t="shared" si="22"/>
        <v>2094.7120172507839</v>
      </c>
      <c r="BX35" s="210">
        <f t="shared" si="23"/>
        <v>2094.7120172507839</v>
      </c>
      <c r="BY35" s="210">
        <f t="shared" si="23"/>
        <v>2094.7120172507839</v>
      </c>
      <c r="BZ35" s="210">
        <f t="shared" si="23"/>
        <v>2094.7120172507839</v>
      </c>
      <c r="CA35" s="210">
        <f t="shared" si="23"/>
        <v>2094.7120172507834</v>
      </c>
      <c r="CB35" s="210">
        <f t="shared" si="23"/>
        <v>2094.7120172507834</v>
      </c>
      <c r="CC35" s="210">
        <f t="shared" si="23"/>
        <v>2094.7120172507834</v>
      </c>
      <c r="CD35" s="210">
        <f t="shared" si="23"/>
        <v>2094.7120172507834</v>
      </c>
      <c r="CE35" s="210">
        <f t="shared" si="23"/>
        <v>2094.7120172507834</v>
      </c>
      <c r="CF35" s="210">
        <f t="shared" si="23"/>
        <v>2094.7120172507834</v>
      </c>
      <c r="CG35" s="210">
        <f t="shared" si="23"/>
        <v>2094.7120172507834</v>
      </c>
      <c r="CH35" s="210">
        <f t="shared" si="24"/>
        <v>2094.7120172507834</v>
      </c>
      <c r="CI35" s="210">
        <f t="shared" si="24"/>
        <v>2094.7120172507834</v>
      </c>
      <c r="CJ35" s="210">
        <f t="shared" si="24"/>
        <v>2094.7120172507834</v>
      </c>
      <c r="CK35" s="210">
        <f t="shared" si="24"/>
        <v>2010.9235365607522</v>
      </c>
      <c r="CL35" s="210">
        <f t="shared" si="24"/>
        <v>1843.3465751806893</v>
      </c>
      <c r="CM35" s="210">
        <f t="shared" si="24"/>
        <v>1675.7696138006268</v>
      </c>
      <c r="CN35" s="210">
        <f t="shared" si="24"/>
        <v>1508.1926524205642</v>
      </c>
      <c r="CO35" s="210">
        <f t="shared" si="24"/>
        <v>1340.6156910405016</v>
      </c>
      <c r="CP35" s="210">
        <f t="shared" si="24"/>
        <v>1173.0387296604388</v>
      </c>
      <c r="CQ35" s="210">
        <f t="shared" si="24"/>
        <v>1005.461768280376</v>
      </c>
      <c r="CR35" s="210">
        <f t="shared" si="25"/>
        <v>837.88480690031338</v>
      </c>
      <c r="CS35" s="210">
        <f t="shared" si="25"/>
        <v>670.30784552025057</v>
      </c>
      <c r="CT35" s="210">
        <f t="shared" si="25"/>
        <v>502.73088414018798</v>
      </c>
      <c r="CU35" s="210">
        <f t="shared" si="25"/>
        <v>335.1539227601254</v>
      </c>
      <c r="CV35" s="210">
        <f t="shared" si="25"/>
        <v>167.57696138006258</v>
      </c>
      <c r="CW35" s="210">
        <f t="shared" si="25"/>
        <v>0</v>
      </c>
      <c r="CX35" s="210">
        <f t="shared" si="25"/>
        <v>0</v>
      </c>
      <c r="CY35" s="210">
        <f t="shared" si="25"/>
        <v>0</v>
      </c>
      <c r="CZ35" s="210">
        <f t="shared" si="25"/>
        <v>0</v>
      </c>
      <c r="DA35" s="210">
        <f t="shared" si="25"/>
        <v>0</v>
      </c>
    </row>
    <row r="36" spans="1:105">
      <c r="A36" s="201" t="str">
        <f>Income!A85</f>
        <v>Cash transfer - official</v>
      </c>
      <c r="B36" s="203">
        <f>Income!B85</f>
        <v>34543.233399615659</v>
      </c>
      <c r="C36" s="203">
        <f>Income!C85</f>
        <v>32916.011351488363</v>
      </c>
      <c r="D36" s="203">
        <f>Income!D85</f>
        <v>0</v>
      </c>
      <c r="E36" s="203">
        <f>Income!E85</f>
        <v>11390.554336891068</v>
      </c>
      <c r="F36" s="210">
        <f t="shared" si="16"/>
        <v>34543.233399615659</v>
      </c>
      <c r="G36" s="210">
        <f t="shared" si="16"/>
        <v>34543.233399615659</v>
      </c>
      <c r="H36" s="210">
        <f t="shared" si="16"/>
        <v>34543.233399615659</v>
      </c>
      <c r="I36" s="210">
        <f t="shared" si="16"/>
        <v>34543.233399615659</v>
      </c>
      <c r="J36" s="210">
        <f t="shared" si="16"/>
        <v>34543.233399615659</v>
      </c>
      <c r="K36" s="210">
        <f t="shared" si="16"/>
        <v>34543.233399615659</v>
      </c>
      <c r="L36" s="210">
        <f t="shared" si="16"/>
        <v>34543.233399615659</v>
      </c>
      <c r="M36" s="210">
        <f t="shared" si="16"/>
        <v>34543.233399615659</v>
      </c>
      <c r="N36" s="210">
        <f t="shared" si="16"/>
        <v>34543.233399615659</v>
      </c>
      <c r="O36" s="210">
        <f t="shared" si="16"/>
        <v>34543.233399615659</v>
      </c>
      <c r="P36" s="210">
        <f t="shared" si="16"/>
        <v>34543.233399615659</v>
      </c>
      <c r="Q36" s="210">
        <f t="shared" si="16"/>
        <v>34543.233399615659</v>
      </c>
      <c r="R36" s="210">
        <f t="shared" si="16"/>
        <v>34543.233399615659</v>
      </c>
      <c r="S36" s="210">
        <f t="shared" si="16"/>
        <v>34543.233399615659</v>
      </c>
      <c r="T36" s="210">
        <f t="shared" si="16"/>
        <v>34543.233399615659</v>
      </c>
      <c r="U36" s="210">
        <f t="shared" si="16"/>
        <v>34543.233399615659</v>
      </c>
      <c r="V36" s="210">
        <f t="shared" si="17"/>
        <v>34543.233399615659</v>
      </c>
      <c r="W36" s="210">
        <f t="shared" si="17"/>
        <v>34543.233399615659</v>
      </c>
      <c r="X36" s="210">
        <f t="shared" si="17"/>
        <v>34543.233399615659</v>
      </c>
      <c r="Y36" s="210">
        <f t="shared" si="17"/>
        <v>34543.233399615659</v>
      </c>
      <c r="Z36" s="210">
        <f t="shared" si="17"/>
        <v>34543.233399615659</v>
      </c>
      <c r="AA36" s="210">
        <f t="shared" si="17"/>
        <v>34543.233399615659</v>
      </c>
      <c r="AB36" s="210">
        <f t="shared" si="17"/>
        <v>34543.233399615659</v>
      </c>
      <c r="AC36" s="210">
        <f t="shared" si="17"/>
        <v>34543.233399615659</v>
      </c>
      <c r="AD36" s="210">
        <f t="shared" si="17"/>
        <v>34543.233399615659</v>
      </c>
      <c r="AE36" s="210">
        <f t="shared" si="17"/>
        <v>34543.233399615659</v>
      </c>
      <c r="AF36" s="210">
        <f t="shared" si="18"/>
        <v>34499.840811665599</v>
      </c>
      <c r="AG36" s="210">
        <f t="shared" si="18"/>
        <v>34456.448223715539</v>
      </c>
      <c r="AH36" s="210">
        <f t="shared" si="18"/>
        <v>34413.055635765479</v>
      </c>
      <c r="AI36" s="210">
        <f t="shared" si="18"/>
        <v>34369.663047815411</v>
      </c>
      <c r="AJ36" s="210">
        <f t="shared" si="18"/>
        <v>34326.270459865351</v>
      </c>
      <c r="AK36" s="210">
        <f t="shared" si="18"/>
        <v>34282.877871915291</v>
      </c>
      <c r="AL36" s="210">
        <f t="shared" si="18"/>
        <v>34239.48528396523</v>
      </c>
      <c r="AM36" s="210">
        <f t="shared" si="18"/>
        <v>34196.09269601517</v>
      </c>
      <c r="AN36" s="210">
        <f t="shared" si="18"/>
        <v>34152.70010806511</v>
      </c>
      <c r="AO36" s="210">
        <f t="shared" si="18"/>
        <v>34109.30752011505</v>
      </c>
      <c r="AP36" s="210">
        <f t="shared" si="19"/>
        <v>34065.914932164989</v>
      </c>
      <c r="AQ36" s="210">
        <f t="shared" si="19"/>
        <v>34022.522344214922</v>
      </c>
      <c r="AR36" s="210">
        <f t="shared" si="19"/>
        <v>33979.129756264861</v>
      </c>
      <c r="AS36" s="210">
        <f t="shared" si="19"/>
        <v>33935.737168314801</v>
      </c>
      <c r="AT36" s="210">
        <f t="shared" si="19"/>
        <v>33892.344580364741</v>
      </c>
      <c r="AU36" s="210">
        <f t="shared" si="19"/>
        <v>33848.951992414681</v>
      </c>
      <c r="AV36" s="210">
        <f t="shared" si="19"/>
        <v>33805.55940446462</v>
      </c>
      <c r="AW36" s="210">
        <f t="shared" si="19"/>
        <v>33762.16681651456</v>
      </c>
      <c r="AX36" s="210">
        <f t="shared" si="19"/>
        <v>33718.774228564493</v>
      </c>
      <c r="AY36" s="210">
        <f t="shared" si="19"/>
        <v>33675.381640614432</v>
      </c>
      <c r="AZ36" s="210">
        <f t="shared" si="20"/>
        <v>33631.989052664372</v>
      </c>
      <c r="BA36" s="210">
        <f t="shared" si="20"/>
        <v>33588.596464714312</v>
      </c>
      <c r="BB36" s="210">
        <f t="shared" si="20"/>
        <v>33545.203876764252</v>
      </c>
      <c r="BC36" s="210">
        <f t="shared" si="20"/>
        <v>33501.811288814191</v>
      </c>
      <c r="BD36" s="210">
        <f t="shared" si="20"/>
        <v>33458.418700864131</v>
      </c>
      <c r="BE36" s="210">
        <f t="shared" si="20"/>
        <v>33415.026112914071</v>
      </c>
      <c r="BF36" s="210">
        <f t="shared" si="20"/>
        <v>33371.633524964003</v>
      </c>
      <c r="BG36" s="210">
        <f t="shared" si="20"/>
        <v>33328.240937013943</v>
      </c>
      <c r="BH36" s="210">
        <f t="shared" si="20"/>
        <v>33284.848349063883</v>
      </c>
      <c r="BI36" s="210">
        <f t="shared" si="20"/>
        <v>33241.455761113823</v>
      </c>
      <c r="BJ36" s="210">
        <f t="shared" si="21"/>
        <v>33198.063173163762</v>
      </c>
      <c r="BK36" s="210">
        <f t="shared" si="21"/>
        <v>33154.670585213702</v>
      </c>
      <c r="BL36" s="210">
        <f t="shared" si="21"/>
        <v>33111.277997263642</v>
      </c>
      <c r="BM36" s="210">
        <f t="shared" si="21"/>
        <v>33067.885409313574</v>
      </c>
      <c r="BN36" s="210">
        <f t="shared" si="21"/>
        <v>33024.492821363514</v>
      </c>
      <c r="BO36" s="210">
        <f t="shared" si="21"/>
        <v>32981.100233413454</v>
      </c>
      <c r="BP36" s="210">
        <f t="shared" si="21"/>
        <v>32937.707645463393</v>
      </c>
      <c r="BQ36" s="210">
        <f t="shared" si="21"/>
        <v>32093.111067701153</v>
      </c>
      <c r="BR36" s="210">
        <f t="shared" si="21"/>
        <v>30447.310500126736</v>
      </c>
      <c r="BS36" s="210">
        <f t="shared" si="21"/>
        <v>28801.509932552319</v>
      </c>
      <c r="BT36" s="210">
        <f t="shared" si="22"/>
        <v>27155.709364977898</v>
      </c>
      <c r="BU36" s="210">
        <f t="shared" si="22"/>
        <v>25509.908797403481</v>
      </c>
      <c r="BV36" s="210">
        <f t="shared" si="22"/>
        <v>23864.108229829064</v>
      </c>
      <c r="BW36" s="210">
        <f t="shared" si="22"/>
        <v>22218.307662254643</v>
      </c>
      <c r="BX36" s="210">
        <f t="shared" si="22"/>
        <v>20572.507094680226</v>
      </c>
      <c r="BY36" s="210">
        <f t="shared" si="22"/>
        <v>18926.706527105809</v>
      </c>
      <c r="BZ36" s="210">
        <f t="shared" si="22"/>
        <v>17280.905959531388</v>
      </c>
      <c r="CA36" s="210">
        <f t="shared" si="22"/>
        <v>15635.105391956971</v>
      </c>
      <c r="CB36" s="210">
        <f t="shared" si="22"/>
        <v>13989.304824382554</v>
      </c>
      <c r="CC36" s="210">
        <f t="shared" si="22"/>
        <v>12343.504256808137</v>
      </c>
      <c r="CD36" s="210">
        <f t="shared" si="23"/>
        <v>10697.70368923372</v>
      </c>
      <c r="CE36" s="210">
        <f t="shared" si="23"/>
        <v>9051.9031216592994</v>
      </c>
      <c r="CF36" s="210">
        <f t="shared" si="23"/>
        <v>7406.1025540848823</v>
      </c>
      <c r="CG36" s="210">
        <f t="shared" si="23"/>
        <v>5760.3019865104652</v>
      </c>
      <c r="CH36" s="210">
        <f t="shared" si="23"/>
        <v>4114.5014189360445</v>
      </c>
      <c r="CI36" s="210">
        <f t="shared" si="23"/>
        <v>2468.7008513616311</v>
      </c>
      <c r="CJ36" s="210">
        <f t="shared" si="23"/>
        <v>822.90028378721036</v>
      </c>
      <c r="CK36" s="210">
        <f t="shared" si="23"/>
        <v>455.62217347564268</v>
      </c>
      <c r="CL36" s="210">
        <f t="shared" si="23"/>
        <v>1366.8665204269282</v>
      </c>
      <c r="CM36" s="210">
        <f t="shared" si="23"/>
        <v>2278.1108673782132</v>
      </c>
      <c r="CN36" s="210">
        <f t="shared" si="24"/>
        <v>3189.3552143294987</v>
      </c>
      <c r="CO36" s="210">
        <f t="shared" si="24"/>
        <v>4100.5995612807847</v>
      </c>
      <c r="CP36" s="210">
        <f t="shared" si="24"/>
        <v>5011.8439082320701</v>
      </c>
      <c r="CQ36" s="210">
        <f t="shared" si="24"/>
        <v>5923.0882551833556</v>
      </c>
      <c r="CR36" s="210">
        <f t="shared" si="24"/>
        <v>6834.3326021346402</v>
      </c>
      <c r="CS36" s="210">
        <f t="shared" si="24"/>
        <v>7745.5769490859266</v>
      </c>
      <c r="CT36" s="210">
        <f t="shared" si="24"/>
        <v>8656.8212960372111</v>
      </c>
      <c r="CU36" s="210">
        <f t="shared" si="24"/>
        <v>9568.0656429884966</v>
      </c>
      <c r="CV36" s="210">
        <f t="shared" si="24"/>
        <v>10479.309989939782</v>
      </c>
      <c r="CW36" s="210">
        <f t="shared" si="24"/>
        <v>11390.554336891068</v>
      </c>
      <c r="CX36" s="210">
        <f t="shared" si="25"/>
        <v>11390.554336891068</v>
      </c>
      <c r="CY36" s="210">
        <f t="shared" si="25"/>
        <v>11390.554336891068</v>
      </c>
      <c r="CZ36" s="210">
        <f t="shared" si="25"/>
        <v>11390.554336891068</v>
      </c>
      <c r="DA36" s="210">
        <f t="shared" si="25"/>
        <v>11390.554336891068</v>
      </c>
    </row>
    <row r="37" spans="1:105">
      <c r="A37" s="201" t="str">
        <f>Income!A86</f>
        <v>Cash transfer - gifts</v>
      </c>
      <c r="B37" s="203">
        <f>Income!B86</f>
        <v>0</v>
      </c>
      <c r="C37" s="203">
        <f>Income!C86</f>
        <v>0</v>
      </c>
      <c r="D37" s="203">
        <f>Income!D86</f>
        <v>20500.435251997424</v>
      </c>
      <c r="E37" s="203">
        <f>Income!E86</f>
        <v>38925.201434730108</v>
      </c>
      <c r="F37" s="210">
        <f t="shared" si="16"/>
        <v>0</v>
      </c>
      <c r="G37" s="210">
        <f t="shared" si="16"/>
        <v>0</v>
      </c>
      <c r="H37" s="210">
        <f t="shared" si="16"/>
        <v>0</v>
      </c>
      <c r="I37" s="210">
        <f t="shared" si="16"/>
        <v>0</v>
      </c>
      <c r="J37" s="210">
        <f t="shared" si="16"/>
        <v>0</v>
      </c>
      <c r="K37" s="210">
        <f t="shared" si="16"/>
        <v>0</v>
      </c>
      <c r="L37" s="210">
        <f t="shared" si="16"/>
        <v>0</v>
      </c>
      <c r="M37" s="210">
        <f t="shared" si="16"/>
        <v>0</v>
      </c>
      <c r="N37" s="210">
        <f t="shared" si="16"/>
        <v>0</v>
      </c>
      <c r="O37" s="210">
        <f t="shared" si="16"/>
        <v>0</v>
      </c>
      <c r="P37" s="210">
        <f t="shared" si="17"/>
        <v>0</v>
      </c>
      <c r="Q37" s="210">
        <f t="shared" si="17"/>
        <v>0</v>
      </c>
      <c r="R37" s="210">
        <f t="shared" si="17"/>
        <v>0</v>
      </c>
      <c r="S37" s="210">
        <f t="shared" si="17"/>
        <v>0</v>
      </c>
      <c r="T37" s="210">
        <f t="shared" si="17"/>
        <v>0</v>
      </c>
      <c r="U37" s="210">
        <f t="shared" si="17"/>
        <v>0</v>
      </c>
      <c r="V37" s="210">
        <f t="shared" si="17"/>
        <v>0</v>
      </c>
      <c r="W37" s="210">
        <f t="shared" si="17"/>
        <v>0</v>
      </c>
      <c r="X37" s="210">
        <f t="shared" si="17"/>
        <v>0</v>
      </c>
      <c r="Y37" s="210">
        <f t="shared" si="17"/>
        <v>0</v>
      </c>
      <c r="Z37" s="210">
        <f t="shared" si="18"/>
        <v>0</v>
      </c>
      <c r="AA37" s="210">
        <f t="shared" si="18"/>
        <v>0</v>
      </c>
      <c r="AB37" s="210">
        <f t="shared" si="18"/>
        <v>0</v>
      </c>
      <c r="AC37" s="210">
        <f t="shared" si="18"/>
        <v>0</v>
      </c>
      <c r="AD37" s="210">
        <f t="shared" si="18"/>
        <v>0</v>
      </c>
      <c r="AE37" s="210">
        <f t="shared" si="18"/>
        <v>0</v>
      </c>
      <c r="AF37" s="210">
        <f t="shared" si="18"/>
        <v>0</v>
      </c>
      <c r="AG37" s="210">
        <f t="shared" si="18"/>
        <v>0</v>
      </c>
      <c r="AH37" s="210">
        <f t="shared" si="18"/>
        <v>0</v>
      </c>
      <c r="AI37" s="210">
        <f t="shared" si="18"/>
        <v>0</v>
      </c>
      <c r="AJ37" s="210">
        <f t="shared" si="19"/>
        <v>0</v>
      </c>
      <c r="AK37" s="210">
        <f t="shared" si="19"/>
        <v>0</v>
      </c>
      <c r="AL37" s="210">
        <f t="shared" si="19"/>
        <v>0</v>
      </c>
      <c r="AM37" s="210">
        <f t="shared" si="19"/>
        <v>0</v>
      </c>
      <c r="AN37" s="210">
        <f t="shared" si="19"/>
        <v>0</v>
      </c>
      <c r="AO37" s="210">
        <f t="shared" si="19"/>
        <v>0</v>
      </c>
      <c r="AP37" s="210">
        <f t="shared" si="19"/>
        <v>0</v>
      </c>
      <c r="AQ37" s="210">
        <f t="shared" si="19"/>
        <v>0</v>
      </c>
      <c r="AR37" s="210">
        <f t="shared" si="19"/>
        <v>0</v>
      </c>
      <c r="AS37" s="210">
        <f t="shared" si="19"/>
        <v>0</v>
      </c>
      <c r="AT37" s="210">
        <f t="shared" si="20"/>
        <v>0</v>
      </c>
      <c r="AU37" s="210">
        <f t="shared" si="20"/>
        <v>0</v>
      </c>
      <c r="AV37" s="210">
        <f t="shared" si="20"/>
        <v>0</v>
      </c>
      <c r="AW37" s="210">
        <f t="shared" si="20"/>
        <v>0</v>
      </c>
      <c r="AX37" s="210">
        <f t="shared" si="20"/>
        <v>0</v>
      </c>
      <c r="AY37" s="210">
        <f t="shared" si="20"/>
        <v>0</v>
      </c>
      <c r="AZ37" s="210">
        <f t="shared" si="20"/>
        <v>0</v>
      </c>
      <c r="BA37" s="210">
        <f t="shared" si="20"/>
        <v>0</v>
      </c>
      <c r="BB37" s="210">
        <f t="shared" si="20"/>
        <v>0</v>
      </c>
      <c r="BC37" s="210">
        <f t="shared" si="20"/>
        <v>0</v>
      </c>
      <c r="BD37" s="210">
        <f t="shared" si="21"/>
        <v>0</v>
      </c>
      <c r="BE37" s="210">
        <f t="shared" si="21"/>
        <v>0</v>
      </c>
      <c r="BF37" s="210">
        <f t="shared" si="21"/>
        <v>0</v>
      </c>
      <c r="BG37" s="210">
        <f t="shared" si="21"/>
        <v>0</v>
      </c>
      <c r="BH37" s="210">
        <f t="shared" si="21"/>
        <v>0</v>
      </c>
      <c r="BI37" s="210">
        <f t="shared" si="21"/>
        <v>0</v>
      </c>
      <c r="BJ37" s="210">
        <f t="shared" si="21"/>
        <v>0</v>
      </c>
      <c r="BK37" s="210">
        <f t="shared" si="21"/>
        <v>0</v>
      </c>
      <c r="BL37" s="210">
        <f t="shared" si="21"/>
        <v>0</v>
      </c>
      <c r="BM37" s="210">
        <f t="shared" si="21"/>
        <v>0</v>
      </c>
      <c r="BN37" s="210">
        <f t="shared" si="22"/>
        <v>0</v>
      </c>
      <c r="BO37" s="210">
        <f t="shared" si="22"/>
        <v>0</v>
      </c>
      <c r="BP37" s="210">
        <f t="shared" si="22"/>
        <v>0</v>
      </c>
      <c r="BQ37" s="210">
        <f t="shared" si="22"/>
        <v>512.51088129993559</v>
      </c>
      <c r="BR37" s="210">
        <f t="shared" si="22"/>
        <v>1537.5326438998068</v>
      </c>
      <c r="BS37" s="210">
        <f t="shared" si="22"/>
        <v>2562.554406499678</v>
      </c>
      <c r="BT37" s="210">
        <f t="shared" si="22"/>
        <v>3587.5761690995487</v>
      </c>
      <c r="BU37" s="210">
        <f t="shared" si="22"/>
        <v>4612.5979316994208</v>
      </c>
      <c r="BV37" s="210">
        <f t="shared" si="22"/>
        <v>5637.619694299292</v>
      </c>
      <c r="BW37" s="210">
        <f t="shared" si="22"/>
        <v>6662.6414568991631</v>
      </c>
      <c r="BX37" s="210">
        <f t="shared" si="23"/>
        <v>7687.6632194990334</v>
      </c>
      <c r="BY37" s="210">
        <f t="shared" si="23"/>
        <v>8712.6849820989046</v>
      </c>
      <c r="BZ37" s="210">
        <f t="shared" si="23"/>
        <v>9737.7067446987749</v>
      </c>
      <c r="CA37" s="210">
        <f t="shared" si="23"/>
        <v>10762.728507298647</v>
      </c>
      <c r="CB37" s="210">
        <f t="shared" si="23"/>
        <v>11787.750269898519</v>
      </c>
      <c r="CC37" s="210">
        <f t="shared" si="23"/>
        <v>12812.772032498389</v>
      </c>
      <c r="CD37" s="210">
        <f t="shared" si="23"/>
        <v>13837.79379509826</v>
      </c>
      <c r="CE37" s="210">
        <f t="shared" si="23"/>
        <v>14862.815557698132</v>
      </c>
      <c r="CF37" s="210">
        <f t="shared" si="23"/>
        <v>15887.837320298004</v>
      </c>
      <c r="CG37" s="210">
        <f t="shared" si="23"/>
        <v>16912.859082897874</v>
      </c>
      <c r="CH37" s="210">
        <f t="shared" si="24"/>
        <v>17937.880845497748</v>
      </c>
      <c r="CI37" s="210">
        <f t="shared" si="24"/>
        <v>18962.902608097618</v>
      </c>
      <c r="CJ37" s="210">
        <f t="shared" si="24"/>
        <v>19987.924370697488</v>
      </c>
      <c r="CK37" s="210">
        <f t="shared" si="24"/>
        <v>21237.425899306731</v>
      </c>
      <c r="CL37" s="210">
        <f t="shared" si="24"/>
        <v>22711.407193925344</v>
      </c>
      <c r="CM37" s="210">
        <f t="shared" si="24"/>
        <v>24185.388488543962</v>
      </c>
      <c r="CN37" s="210">
        <f t="shared" si="24"/>
        <v>25659.369783162576</v>
      </c>
      <c r="CO37" s="210">
        <f t="shared" si="24"/>
        <v>27133.35107778119</v>
      </c>
      <c r="CP37" s="210">
        <f t="shared" si="24"/>
        <v>28607.332372399804</v>
      </c>
      <c r="CQ37" s="210">
        <f t="shared" si="24"/>
        <v>30081.313667018418</v>
      </c>
      <c r="CR37" s="210">
        <f t="shared" si="25"/>
        <v>31555.294961637032</v>
      </c>
      <c r="CS37" s="210">
        <f t="shared" si="25"/>
        <v>33029.276256255653</v>
      </c>
      <c r="CT37" s="210">
        <f t="shared" si="25"/>
        <v>34503.257550874267</v>
      </c>
      <c r="CU37" s="210">
        <f t="shared" si="25"/>
        <v>35977.238845492881</v>
      </c>
      <c r="CV37" s="210">
        <f t="shared" si="25"/>
        <v>37451.220140111494</v>
      </c>
      <c r="CW37" s="210">
        <f t="shared" si="25"/>
        <v>38925.201434730108</v>
      </c>
      <c r="CX37" s="210">
        <f t="shared" si="25"/>
        <v>38925.201434730108</v>
      </c>
      <c r="CY37" s="210">
        <f t="shared" si="25"/>
        <v>38925.201434730108</v>
      </c>
      <c r="CZ37" s="210">
        <f t="shared" si="25"/>
        <v>38925.201434730108</v>
      </c>
      <c r="DA37" s="210">
        <f t="shared" si="25"/>
        <v>38925.201434730108</v>
      </c>
    </row>
    <row r="38" spans="1:105">
      <c r="A38" s="201" t="str">
        <f>Income!A88</f>
        <v>TOTAL</v>
      </c>
      <c r="B38" s="203">
        <f>Income!B88</f>
        <v>51313.710785378913</v>
      </c>
      <c r="C38" s="203">
        <f>Income!C88</f>
        <v>86672.869900004123</v>
      </c>
      <c r="D38" s="203">
        <f>Income!D88</f>
        <v>154994.76310394032</v>
      </c>
      <c r="E38" s="203">
        <f>Income!E88</f>
        <v>326648.99369562237</v>
      </c>
      <c r="F38" s="204">
        <f t="shared" ref="F38:AK38" si="26">SUM(F25:F37)</f>
        <v>51313.710785378913</v>
      </c>
      <c r="G38" s="204">
        <f t="shared" si="26"/>
        <v>51313.710785378913</v>
      </c>
      <c r="H38" s="204">
        <f t="shared" si="26"/>
        <v>51313.710785378913</v>
      </c>
      <c r="I38" s="204">
        <f t="shared" si="26"/>
        <v>51313.710785378913</v>
      </c>
      <c r="J38" s="204">
        <f t="shared" si="26"/>
        <v>51313.710785378913</v>
      </c>
      <c r="K38" s="204">
        <f t="shared" si="26"/>
        <v>51313.710785378913</v>
      </c>
      <c r="L38" s="204">
        <f t="shared" si="26"/>
        <v>51313.710785378913</v>
      </c>
      <c r="M38" s="204">
        <f t="shared" si="26"/>
        <v>51313.710785378913</v>
      </c>
      <c r="N38" s="204">
        <f t="shared" si="26"/>
        <v>51313.710785378913</v>
      </c>
      <c r="O38" s="204">
        <f t="shared" si="26"/>
        <v>51313.710785378913</v>
      </c>
      <c r="P38" s="204">
        <f t="shared" si="26"/>
        <v>51313.710785378913</v>
      </c>
      <c r="Q38" s="204">
        <f t="shared" si="26"/>
        <v>51313.710785378913</v>
      </c>
      <c r="R38" s="204">
        <f t="shared" si="26"/>
        <v>51313.710785378913</v>
      </c>
      <c r="S38" s="204">
        <f t="shared" si="26"/>
        <v>51313.710785378913</v>
      </c>
      <c r="T38" s="204">
        <f t="shared" si="26"/>
        <v>51313.710785378913</v>
      </c>
      <c r="U38" s="204">
        <f t="shared" si="26"/>
        <v>51313.710785378913</v>
      </c>
      <c r="V38" s="204">
        <f t="shared" si="26"/>
        <v>51313.710785378913</v>
      </c>
      <c r="W38" s="204">
        <f t="shared" si="26"/>
        <v>51313.710785378913</v>
      </c>
      <c r="X38" s="204">
        <f t="shared" si="26"/>
        <v>51313.710785378913</v>
      </c>
      <c r="Y38" s="204">
        <f t="shared" si="26"/>
        <v>51313.710785378913</v>
      </c>
      <c r="Z38" s="204">
        <f t="shared" si="26"/>
        <v>51313.710785378913</v>
      </c>
      <c r="AA38" s="204">
        <f t="shared" si="26"/>
        <v>51313.710785378913</v>
      </c>
      <c r="AB38" s="204">
        <f t="shared" si="26"/>
        <v>51313.710785378913</v>
      </c>
      <c r="AC38" s="204">
        <f t="shared" si="26"/>
        <v>51313.710785378913</v>
      </c>
      <c r="AD38" s="204">
        <f t="shared" si="26"/>
        <v>51313.710785378913</v>
      </c>
      <c r="AE38" s="204">
        <f t="shared" si="26"/>
        <v>51313.710785378913</v>
      </c>
      <c r="AF38" s="204">
        <f t="shared" si="26"/>
        <v>51662.040738010153</v>
      </c>
      <c r="AG38" s="204">
        <f t="shared" si="26"/>
        <v>52010.370690641394</v>
      </c>
      <c r="AH38" s="204">
        <f t="shared" si="26"/>
        <v>52358.700643272634</v>
      </c>
      <c r="AI38" s="204">
        <f t="shared" si="26"/>
        <v>52707.030595903867</v>
      </c>
      <c r="AJ38" s="204">
        <f t="shared" si="26"/>
        <v>53055.360548535115</v>
      </c>
      <c r="AK38" s="204">
        <f t="shared" si="26"/>
        <v>53403.690501166348</v>
      </c>
      <c r="AL38" s="204">
        <f t="shared" ref="AL38:BQ38" si="27">SUM(AL25:AL37)</f>
        <v>53752.020453797595</v>
      </c>
      <c r="AM38" s="204">
        <f t="shared" si="27"/>
        <v>54100.350406428835</v>
      </c>
      <c r="AN38" s="204">
        <f t="shared" si="27"/>
        <v>54448.680359060076</v>
      </c>
      <c r="AO38" s="204">
        <f t="shared" si="27"/>
        <v>54797.010311691323</v>
      </c>
      <c r="AP38" s="204">
        <f t="shared" si="27"/>
        <v>55145.340264322556</v>
      </c>
      <c r="AQ38" s="204">
        <f t="shared" si="27"/>
        <v>55493.670216953789</v>
      </c>
      <c r="AR38" s="204">
        <f t="shared" si="27"/>
        <v>55842.000169585037</v>
      </c>
      <c r="AS38" s="204">
        <f t="shared" si="27"/>
        <v>56190.33012221627</v>
      </c>
      <c r="AT38" s="204">
        <f t="shared" si="27"/>
        <v>56538.660074847518</v>
      </c>
      <c r="AU38" s="204">
        <f t="shared" si="27"/>
        <v>56886.990027478751</v>
      </c>
      <c r="AV38" s="204">
        <f t="shared" si="27"/>
        <v>57235.319980109998</v>
      </c>
      <c r="AW38" s="204">
        <f t="shared" si="27"/>
        <v>57583.649932741246</v>
      </c>
      <c r="AX38" s="204">
        <f t="shared" si="27"/>
        <v>57931.979885372479</v>
      </c>
      <c r="AY38" s="204">
        <f t="shared" si="27"/>
        <v>58280.309838003719</v>
      </c>
      <c r="AZ38" s="204">
        <f t="shared" si="27"/>
        <v>58628.639790634959</v>
      </c>
      <c r="BA38" s="204">
        <f t="shared" si="27"/>
        <v>58976.9697432662</v>
      </c>
      <c r="BB38" s="204">
        <f t="shared" si="27"/>
        <v>59325.29969589744</v>
      </c>
      <c r="BC38" s="204">
        <f t="shared" si="27"/>
        <v>59673.62964852868</v>
      </c>
      <c r="BD38" s="204">
        <f t="shared" si="27"/>
        <v>60021.959601159921</v>
      </c>
      <c r="BE38" s="204">
        <f t="shared" si="27"/>
        <v>60370.289553791161</v>
      </c>
      <c r="BF38" s="204">
        <f t="shared" si="27"/>
        <v>60718.619506422394</v>
      </c>
      <c r="BG38" s="204">
        <f t="shared" si="27"/>
        <v>61066.949459053634</v>
      </c>
      <c r="BH38" s="204">
        <f t="shared" si="27"/>
        <v>61415.279411684882</v>
      </c>
      <c r="BI38" s="204">
        <f t="shared" si="27"/>
        <v>61763.609364316122</v>
      </c>
      <c r="BJ38" s="204">
        <f t="shared" si="27"/>
        <v>62111.939316947362</v>
      </c>
      <c r="BK38" s="204">
        <f t="shared" si="27"/>
        <v>62460.269269578603</v>
      </c>
      <c r="BL38" s="204">
        <f t="shared" si="27"/>
        <v>62808.599222209843</v>
      </c>
      <c r="BM38" s="204">
        <f t="shared" si="27"/>
        <v>63156.929174841076</v>
      </c>
      <c r="BN38" s="204">
        <f t="shared" si="27"/>
        <v>63505.259127472316</v>
      </c>
      <c r="BO38" s="204">
        <f t="shared" si="27"/>
        <v>63853.589080103557</v>
      </c>
      <c r="BP38" s="204">
        <f t="shared" si="27"/>
        <v>64201.919032734797</v>
      </c>
      <c r="BQ38" s="204">
        <f t="shared" si="27"/>
        <v>66641.550986422662</v>
      </c>
      <c r="BR38" s="204">
        <f t="shared" ref="BR38:CW38" si="28">SUM(BR25:BR37)</f>
        <v>71172.48494116716</v>
      </c>
      <c r="BS38" s="204">
        <f t="shared" si="28"/>
        <v>75703.418895911658</v>
      </c>
      <c r="BT38" s="204">
        <f t="shared" si="28"/>
        <v>80234.352850656156</v>
      </c>
      <c r="BU38" s="204">
        <f t="shared" si="28"/>
        <v>84765.286805400654</v>
      </c>
      <c r="BV38" s="204">
        <f t="shared" si="28"/>
        <v>89296.220760145152</v>
      </c>
      <c r="BW38" s="204">
        <f t="shared" si="28"/>
        <v>93827.154714889635</v>
      </c>
      <c r="BX38" s="204">
        <f t="shared" si="28"/>
        <v>98358.088669634148</v>
      </c>
      <c r="BY38" s="204">
        <f t="shared" si="28"/>
        <v>102889.02262437863</v>
      </c>
      <c r="BZ38" s="204">
        <f t="shared" si="28"/>
        <v>107419.95657912313</v>
      </c>
      <c r="CA38" s="204">
        <f t="shared" si="28"/>
        <v>111950.89053386761</v>
      </c>
      <c r="CB38" s="204">
        <f t="shared" si="28"/>
        <v>116481.82448861211</v>
      </c>
      <c r="CC38" s="204">
        <f t="shared" si="28"/>
        <v>121012.75844335661</v>
      </c>
      <c r="CD38" s="204">
        <f t="shared" si="28"/>
        <v>125543.69239810111</v>
      </c>
      <c r="CE38" s="204">
        <f t="shared" si="28"/>
        <v>130074.62635284562</v>
      </c>
      <c r="CF38" s="204">
        <f t="shared" si="28"/>
        <v>134605.56030759009</v>
      </c>
      <c r="CG38" s="204">
        <f t="shared" si="28"/>
        <v>139136.4942623346</v>
      </c>
      <c r="CH38" s="204">
        <f t="shared" si="28"/>
        <v>143667.42821707908</v>
      </c>
      <c r="CI38" s="204">
        <f t="shared" si="28"/>
        <v>148198.3621718236</v>
      </c>
      <c r="CJ38" s="204">
        <f t="shared" si="28"/>
        <v>152729.29612656808</v>
      </c>
      <c r="CK38" s="204">
        <f t="shared" si="28"/>
        <v>161860.93232760762</v>
      </c>
      <c r="CL38" s="204">
        <f t="shared" si="28"/>
        <v>175593.27077494218</v>
      </c>
      <c r="CM38" s="204">
        <f t="shared" si="28"/>
        <v>189325.60922227672</v>
      </c>
      <c r="CN38" s="204">
        <f t="shared" si="28"/>
        <v>203057.94766961128</v>
      </c>
      <c r="CO38" s="204">
        <f t="shared" si="28"/>
        <v>216790.28611694585</v>
      </c>
      <c r="CP38" s="204">
        <f t="shared" si="28"/>
        <v>230522.62456428041</v>
      </c>
      <c r="CQ38" s="204">
        <f t="shared" si="28"/>
        <v>244254.96301161498</v>
      </c>
      <c r="CR38" s="204">
        <f t="shared" si="28"/>
        <v>257987.30145894957</v>
      </c>
      <c r="CS38" s="204">
        <f t="shared" si="28"/>
        <v>271719.63990628411</v>
      </c>
      <c r="CT38" s="204">
        <f t="shared" si="28"/>
        <v>285451.9783536187</v>
      </c>
      <c r="CU38" s="204">
        <f t="shared" si="28"/>
        <v>299184.3168009533</v>
      </c>
      <c r="CV38" s="204">
        <f t="shared" si="28"/>
        <v>312916.65524828789</v>
      </c>
      <c r="CW38" s="204">
        <f t="shared" si="28"/>
        <v>326648.99369562237</v>
      </c>
      <c r="CX38" s="204">
        <f>SUM(CX25:CX37)</f>
        <v>326648.99369562237</v>
      </c>
      <c r="CY38" s="204">
        <f>SUM(CY25:CY37)</f>
        <v>326648.99369562237</v>
      </c>
      <c r="CZ38" s="204">
        <f>SUM(CZ25:CZ37)</f>
        <v>326648.99369562237</v>
      </c>
      <c r="DA38" s="204">
        <f>SUM(DA25:DA37)</f>
        <v>326648.99369562237</v>
      </c>
    </row>
    <row r="39" spans="1:105">
      <c r="A39" s="201" t="str">
        <f>Income!A89</f>
        <v>Food Poverty line</v>
      </c>
      <c r="B39" s="203">
        <f>Income!B89</f>
        <v>35969.406972062061</v>
      </c>
      <c r="C39" s="203">
        <f>Income!C89</f>
        <v>35969.406972062054</v>
      </c>
      <c r="D39" s="203">
        <f>Income!D89</f>
        <v>35969.406972062054</v>
      </c>
      <c r="E39" s="203">
        <f>Income!E89</f>
        <v>35969.406972062061</v>
      </c>
      <c r="F39" s="204">
        <f t="shared" ref="F39:U39" si="29">IF(F$2&lt;=($B$2+$C$2+$D$2),IF(F$2&lt;=($B$2+$C$2),IF(F$2&lt;=$B$2,$B39,$C39),$D39),$E39)</f>
        <v>35969.406972062061</v>
      </c>
      <c r="G39" s="204">
        <f t="shared" si="29"/>
        <v>35969.406972062061</v>
      </c>
      <c r="H39" s="204">
        <f t="shared" si="29"/>
        <v>35969.406972062061</v>
      </c>
      <c r="I39" s="204">
        <f t="shared" si="29"/>
        <v>35969.406972062061</v>
      </c>
      <c r="J39" s="204">
        <f t="shared" si="29"/>
        <v>35969.406972062061</v>
      </c>
      <c r="K39" s="204">
        <f t="shared" si="29"/>
        <v>35969.406972062061</v>
      </c>
      <c r="L39" s="204">
        <f t="shared" si="29"/>
        <v>35969.406972062061</v>
      </c>
      <c r="M39" s="204">
        <f t="shared" si="29"/>
        <v>35969.406972062061</v>
      </c>
      <c r="N39" s="204">
        <f t="shared" si="29"/>
        <v>35969.406972062061</v>
      </c>
      <c r="O39" s="204">
        <f t="shared" si="29"/>
        <v>35969.406972062061</v>
      </c>
      <c r="P39" s="204">
        <f t="shared" si="29"/>
        <v>35969.406972062061</v>
      </c>
      <c r="Q39" s="204">
        <f t="shared" si="29"/>
        <v>35969.406972062061</v>
      </c>
      <c r="R39" s="204">
        <f t="shared" si="29"/>
        <v>35969.406972062061</v>
      </c>
      <c r="S39" s="204">
        <f t="shared" si="29"/>
        <v>35969.406972062061</v>
      </c>
      <c r="T39" s="204">
        <f t="shared" si="29"/>
        <v>35969.406972062061</v>
      </c>
      <c r="U39" s="204">
        <f t="shared" si="29"/>
        <v>35969.406972062061</v>
      </c>
      <c r="V39" s="204">
        <f t="shared" ref="V39:AK40" si="30">IF(V$2&lt;=($B$2+$C$2+$D$2),IF(V$2&lt;=($B$2+$C$2),IF(V$2&lt;=$B$2,$B39,$C39),$D39),$E39)</f>
        <v>35969.406972062061</v>
      </c>
      <c r="W39" s="204">
        <f t="shared" si="30"/>
        <v>35969.406972062061</v>
      </c>
      <c r="X39" s="204">
        <f t="shared" si="30"/>
        <v>35969.406972062061</v>
      </c>
      <c r="Y39" s="204">
        <f t="shared" si="30"/>
        <v>35969.406972062061</v>
      </c>
      <c r="Z39" s="204">
        <f t="shared" si="30"/>
        <v>35969.406972062061</v>
      </c>
      <c r="AA39" s="204">
        <f t="shared" si="30"/>
        <v>35969.406972062061</v>
      </c>
      <c r="AB39" s="204">
        <f t="shared" si="30"/>
        <v>35969.406972062061</v>
      </c>
      <c r="AC39" s="204">
        <f t="shared" si="30"/>
        <v>35969.406972062061</v>
      </c>
      <c r="AD39" s="204">
        <f t="shared" si="30"/>
        <v>35969.406972062061</v>
      </c>
      <c r="AE39" s="204">
        <f t="shared" si="30"/>
        <v>35969.406972062061</v>
      </c>
      <c r="AF39" s="204">
        <f t="shared" si="30"/>
        <v>35969.406972062061</v>
      </c>
      <c r="AG39" s="204">
        <f t="shared" si="30"/>
        <v>35969.406972062061</v>
      </c>
      <c r="AH39" s="204">
        <f t="shared" si="30"/>
        <v>35969.406972062061</v>
      </c>
      <c r="AI39" s="204">
        <f t="shared" si="30"/>
        <v>35969.406972062061</v>
      </c>
      <c r="AJ39" s="204">
        <f t="shared" si="30"/>
        <v>35969.406972062061</v>
      </c>
      <c r="AK39" s="204">
        <f t="shared" si="30"/>
        <v>35969.406972062061</v>
      </c>
      <c r="AL39" s="204">
        <f t="shared" ref="AL39:BA40" si="31">IF(AL$2&lt;=($B$2+$C$2+$D$2),IF(AL$2&lt;=($B$2+$C$2),IF(AL$2&lt;=$B$2,$B39,$C39),$D39),$E39)</f>
        <v>35969.406972062061</v>
      </c>
      <c r="AM39" s="204">
        <f t="shared" si="31"/>
        <v>35969.406972062061</v>
      </c>
      <c r="AN39" s="204">
        <f t="shared" si="31"/>
        <v>35969.406972062061</v>
      </c>
      <c r="AO39" s="204">
        <f t="shared" si="31"/>
        <v>35969.406972062061</v>
      </c>
      <c r="AP39" s="204">
        <f t="shared" si="31"/>
        <v>35969.406972062061</v>
      </c>
      <c r="AQ39" s="204">
        <f t="shared" si="31"/>
        <v>35969.406972062061</v>
      </c>
      <c r="AR39" s="204">
        <f t="shared" si="31"/>
        <v>35969.406972062061</v>
      </c>
      <c r="AS39" s="204">
        <f t="shared" si="31"/>
        <v>35969.406972062061</v>
      </c>
      <c r="AT39" s="204">
        <f t="shared" si="31"/>
        <v>35969.406972062061</v>
      </c>
      <c r="AU39" s="204">
        <f t="shared" si="31"/>
        <v>35969.406972062061</v>
      </c>
      <c r="AV39" s="204">
        <f t="shared" si="31"/>
        <v>35969.406972062061</v>
      </c>
      <c r="AW39" s="204">
        <f t="shared" si="31"/>
        <v>35969.406972062061</v>
      </c>
      <c r="AX39" s="204">
        <f t="shared" si="31"/>
        <v>35969.406972062061</v>
      </c>
      <c r="AY39" s="204">
        <f t="shared" si="31"/>
        <v>35969.406972062061</v>
      </c>
      <c r="AZ39" s="204">
        <f t="shared" si="31"/>
        <v>35969.406972062061</v>
      </c>
      <c r="BA39" s="204">
        <f t="shared" si="31"/>
        <v>35969.406972062061</v>
      </c>
      <c r="BB39" s="204">
        <f t="shared" ref="BB39:CD40" si="32">IF(BB$2&lt;=($B$2+$C$2+$D$2),IF(BB$2&lt;=($B$2+$C$2),IF(BB$2&lt;=$B$2,$B39,$C39),$D39),$E39)</f>
        <v>35969.406972062061</v>
      </c>
      <c r="BC39" s="204">
        <f t="shared" si="32"/>
        <v>35969.406972062061</v>
      </c>
      <c r="BD39" s="204">
        <f t="shared" si="32"/>
        <v>35969.406972062054</v>
      </c>
      <c r="BE39" s="204">
        <f t="shared" si="32"/>
        <v>35969.406972062054</v>
      </c>
      <c r="BF39" s="204">
        <f t="shared" si="32"/>
        <v>35969.406972062054</v>
      </c>
      <c r="BG39" s="204">
        <f t="shared" si="32"/>
        <v>35969.406972062054</v>
      </c>
      <c r="BH39" s="204">
        <f t="shared" si="32"/>
        <v>35969.406972062054</v>
      </c>
      <c r="BI39" s="204">
        <f t="shared" si="32"/>
        <v>35969.406972062054</v>
      </c>
      <c r="BJ39" s="204">
        <f t="shared" si="32"/>
        <v>35969.406972062054</v>
      </c>
      <c r="BK39" s="204">
        <f t="shared" si="32"/>
        <v>35969.406972062054</v>
      </c>
      <c r="BL39" s="204">
        <f t="shared" si="32"/>
        <v>35969.406972062054</v>
      </c>
      <c r="BM39" s="204">
        <f t="shared" si="32"/>
        <v>35969.406972062054</v>
      </c>
      <c r="BN39" s="204">
        <f t="shared" si="32"/>
        <v>35969.406972062054</v>
      </c>
      <c r="BO39" s="204">
        <f t="shared" si="32"/>
        <v>35969.406972062054</v>
      </c>
      <c r="BP39" s="204">
        <f t="shared" si="32"/>
        <v>35969.406972062054</v>
      </c>
      <c r="BQ39" s="204">
        <f t="shared" si="32"/>
        <v>35969.406972062054</v>
      </c>
      <c r="BR39" s="204">
        <f t="shared" si="32"/>
        <v>35969.406972062054</v>
      </c>
      <c r="BS39" s="204">
        <f t="shared" si="32"/>
        <v>35969.406972062054</v>
      </c>
      <c r="BT39" s="204">
        <f t="shared" si="32"/>
        <v>35969.406972062054</v>
      </c>
      <c r="BU39" s="204">
        <f t="shared" si="32"/>
        <v>35969.406972062054</v>
      </c>
      <c r="BV39" s="204">
        <f t="shared" si="32"/>
        <v>35969.406972062054</v>
      </c>
      <c r="BW39" s="204">
        <f t="shared" si="32"/>
        <v>35969.406972062054</v>
      </c>
      <c r="BX39" s="204">
        <f t="shared" si="32"/>
        <v>35969.406972062054</v>
      </c>
      <c r="BY39" s="204">
        <f t="shared" si="32"/>
        <v>35969.406972062054</v>
      </c>
      <c r="BZ39" s="204">
        <f t="shared" si="32"/>
        <v>35969.406972062054</v>
      </c>
      <c r="CA39" s="204">
        <f t="shared" si="32"/>
        <v>35969.406972062054</v>
      </c>
      <c r="CB39" s="204">
        <f t="shared" si="32"/>
        <v>35969.406972062054</v>
      </c>
      <c r="CC39" s="204">
        <f t="shared" si="32"/>
        <v>35969.406972062054</v>
      </c>
      <c r="CD39" s="204">
        <f t="shared" si="32"/>
        <v>35969.406972062054</v>
      </c>
      <c r="CE39" s="204">
        <f t="shared" ref="CE39:CR40" si="33">IF(CE$2&lt;=($B$2+$C$2+$D$2),IF(CE$2&lt;=($B$2+$C$2),IF(CE$2&lt;=$B$2,$B39,$C39),$D39),$E39)</f>
        <v>35969.406972062054</v>
      </c>
      <c r="CF39" s="204">
        <f t="shared" si="33"/>
        <v>35969.406972062054</v>
      </c>
      <c r="CG39" s="204">
        <f t="shared" si="33"/>
        <v>35969.406972062054</v>
      </c>
      <c r="CH39" s="204">
        <f t="shared" si="33"/>
        <v>35969.406972062054</v>
      </c>
      <c r="CI39" s="204">
        <f t="shared" si="33"/>
        <v>35969.406972062054</v>
      </c>
      <c r="CJ39" s="204">
        <f t="shared" si="33"/>
        <v>35969.406972062054</v>
      </c>
      <c r="CK39" s="204">
        <f t="shared" si="33"/>
        <v>35969.406972062054</v>
      </c>
      <c r="CL39" s="204">
        <f t="shared" si="33"/>
        <v>35969.406972062054</v>
      </c>
      <c r="CM39" s="204">
        <f t="shared" si="33"/>
        <v>35969.406972062054</v>
      </c>
      <c r="CN39" s="204">
        <f t="shared" si="33"/>
        <v>35969.406972062054</v>
      </c>
      <c r="CO39" s="204">
        <f t="shared" si="33"/>
        <v>35969.406972062054</v>
      </c>
      <c r="CP39" s="204">
        <f t="shared" si="33"/>
        <v>35969.406972062054</v>
      </c>
      <c r="CQ39" s="204">
        <f t="shared" si="33"/>
        <v>35969.406972062054</v>
      </c>
      <c r="CR39" s="204">
        <f t="shared" si="33"/>
        <v>35969.406972062061</v>
      </c>
      <c r="CS39" s="204">
        <f t="shared" ref="CS39:DA40" si="34">IF(CS$2&lt;=($B$2+$C$2+$D$2),IF(CS$2&lt;=($B$2+$C$2),IF(CS$2&lt;=$B$2,$B39,$C39),$D39),$E39)</f>
        <v>35969.406972062061</v>
      </c>
      <c r="CT39" s="204">
        <f t="shared" si="34"/>
        <v>35969.406972062061</v>
      </c>
      <c r="CU39" s="204">
        <f t="shared" si="34"/>
        <v>35969.406972062061</v>
      </c>
      <c r="CV39" s="204">
        <f t="shared" si="34"/>
        <v>35969.406972062061</v>
      </c>
      <c r="CW39" s="204">
        <f t="shared" si="34"/>
        <v>35969.406972062061</v>
      </c>
      <c r="CX39" s="204">
        <f t="shared" si="34"/>
        <v>35969.406972062061</v>
      </c>
      <c r="CY39" s="204">
        <f t="shared" si="34"/>
        <v>35969.406972062061</v>
      </c>
      <c r="CZ39" s="204">
        <f t="shared" si="34"/>
        <v>35969.406972062061</v>
      </c>
      <c r="DA39" s="204">
        <f t="shared" si="34"/>
        <v>35969.406972062061</v>
      </c>
    </row>
    <row r="40" spans="1:105">
      <c r="A40" s="201" t="str">
        <f>Income!A90</f>
        <v>Lower Bound Poverty line</v>
      </c>
      <c r="B40" s="203">
        <f>Income!B90</f>
        <v>54352.233638728721</v>
      </c>
      <c r="C40" s="203">
        <f>Income!C90</f>
        <v>54352.233638728729</v>
      </c>
      <c r="D40" s="203">
        <f>Income!D90</f>
        <v>54352.233638728721</v>
      </c>
      <c r="E40" s="203">
        <f>Income!E90</f>
        <v>54352.233638728729</v>
      </c>
      <c r="F40" s="204">
        <f t="shared" ref="F40:U40" si="35">IF(F$2&lt;=($B$2+$C$2+$D$2),IF(F$2&lt;=($B$2+$C$2),IF(F$2&lt;=$B$2,$B40,$C40),$D40),$E40)</f>
        <v>54352.233638728721</v>
      </c>
      <c r="G40" s="204">
        <f t="shared" si="35"/>
        <v>54352.233638728721</v>
      </c>
      <c r="H40" s="204">
        <f t="shared" si="35"/>
        <v>54352.233638728721</v>
      </c>
      <c r="I40" s="204">
        <f t="shared" si="35"/>
        <v>54352.233638728721</v>
      </c>
      <c r="J40" s="204">
        <f t="shared" si="35"/>
        <v>54352.233638728721</v>
      </c>
      <c r="K40" s="204">
        <f t="shared" si="35"/>
        <v>54352.233638728721</v>
      </c>
      <c r="L40" s="204">
        <f t="shared" si="35"/>
        <v>54352.233638728721</v>
      </c>
      <c r="M40" s="204">
        <f t="shared" si="35"/>
        <v>54352.233638728721</v>
      </c>
      <c r="N40" s="204">
        <f t="shared" si="35"/>
        <v>54352.233638728721</v>
      </c>
      <c r="O40" s="204">
        <f t="shared" si="35"/>
        <v>54352.233638728721</v>
      </c>
      <c r="P40" s="204">
        <f t="shared" si="35"/>
        <v>54352.233638728721</v>
      </c>
      <c r="Q40" s="204">
        <f t="shared" si="35"/>
        <v>54352.233638728721</v>
      </c>
      <c r="R40" s="204">
        <f t="shared" si="35"/>
        <v>54352.233638728721</v>
      </c>
      <c r="S40" s="204">
        <f t="shared" si="35"/>
        <v>54352.233638728721</v>
      </c>
      <c r="T40" s="204">
        <f t="shared" si="35"/>
        <v>54352.233638728721</v>
      </c>
      <c r="U40" s="204">
        <f t="shared" si="35"/>
        <v>54352.233638728721</v>
      </c>
      <c r="V40" s="204">
        <f t="shared" si="30"/>
        <v>54352.233638728721</v>
      </c>
      <c r="W40" s="204">
        <f t="shared" si="30"/>
        <v>54352.233638728721</v>
      </c>
      <c r="X40" s="204">
        <f t="shared" si="30"/>
        <v>54352.233638728721</v>
      </c>
      <c r="Y40" s="204">
        <f t="shared" si="30"/>
        <v>54352.233638728721</v>
      </c>
      <c r="Z40" s="204">
        <f t="shared" si="30"/>
        <v>54352.233638728721</v>
      </c>
      <c r="AA40" s="204">
        <f t="shared" si="30"/>
        <v>54352.233638728721</v>
      </c>
      <c r="AB40" s="204">
        <f t="shared" si="30"/>
        <v>54352.233638728721</v>
      </c>
      <c r="AC40" s="204">
        <f t="shared" si="30"/>
        <v>54352.233638728721</v>
      </c>
      <c r="AD40" s="204">
        <f t="shared" si="30"/>
        <v>54352.233638728721</v>
      </c>
      <c r="AE40" s="204">
        <f t="shared" si="30"/>
        <v>54352.233638728721</v>
      </c>
      <c r="AF40" s="204">
        <f t="shared" si="30"/>
        <v>54352.233638728721</v>
      </c>
      <c r="AG40" s="204">
        <f t="shared" si="30"/>
        <v>54352.233638728721</v>
      </c>
      <c r="AH40" s="204">
        <f t="shared" si="30"/>
        <v>54352.233638728721</v>
      </c>
      <c r="AI40" s="204">
        <f t="shared" si="30"/>
        <v>54352.233638728721</v>
      </c>
      <c r="AJ40" s="204">
        <f t="shared" si="30"/>
        <v>54352.233638728721</v>
      </c>
      <c r="AK40" s="204">
        <f t="shared" si="30"/>
        <v>54352.233638728721</v>
      </c>
      <c r="AL40" s="204">
        <f t="shared" si="31"/>
        <v>54352.233638728721</v>
      </c>
      <c r="AM40" s="204">
        <f t="shared" si="31"/>
        <v>54352.233638728721</v>
      </c>
      <c r="AN40" s="204">
        <f t="shared" si="31"/>
        <v>54352.233638728721</v>
      </c>
      <c r="AO40" s="204">
        <f t="shared" si="31"/>
        <v>54352.233638728721</v>
      </c>
      <c r="AP40" s="204">
        <f t="shared" si="31"/>
        <v>54352.233638728721</v>
      </c>
      <c r="AQ40" s="204">
        <f t="shared" si="31"/>
        <v>54352.233638728721</v>
      </c>
      <c r="AR40" s="204">
        <f t="shared" si="31"/>
        <v>54352.233638728721</v>
      </c>
      <c r="AS40" s="204">
        <f t="shared" si="31"/>
        <v>54352.233638728721</v>
      </c>
      <c r="AT40" s="204">
        <f t="shared" si="31"/>
        <v>54352.233638728721</v>
      </c>
      <c r="AU40" s="204">
        <f t="shared" si="31"/>
        <v>54352.233638728721</v>
      </c>
      <c r="AV40" s="204">
        <f t="shared" si="31"/>
        <v>54352.233638728721</v>
      </c>
      <c r="AW40" s="204">
        <f t="shared" si="31"/>
        <v>54352.233638728721</v>
      </c>
      <c r="AX40" s="204">
        <f t="shared" si="31"/>
        <v>54352.233638728721</v>
      </c>
      <c r="AY40" s="204">
        <f t="shared" si="31"/>
        <v>54352.233638728721</v>
      </c>
      <c r="AZ40" s="204">
        <f t="shared" si="31"/>
        <v>54352.233638728721</v>
      </c>
      <c r="BA40" s="204">
        <f t="shared" si="31"/>
        <v>54352.233638728721</v>
      </c>
      <c r="BB40" s="204">
        <f t="shared" si="32"/>
        <v>54352.233638728721</v>
      </c>
      <c r="BC40" s="204">
        <f t="shared" si="32"/>
        <v>54352.233638728721</v>
      </c>
      <c r="BD40" s="204">
        <f t="shared" si="32"/>
        <v>54352.233638728729</v>
      </c>
      <c r="BE40" s="204">
        <f t="shared" si="32"/>
        <v>54352.233638728729</v>
      </c>
      <c r="BF40" s="204">
        <f t="shared" si="32"/>
        <v>54352.233638728729</v>
      </c>
      <c r="BG40" s="204">
        <f t="shared" si="32"/>
        <v>54352.233638728729</v>
      </c>
      <c r="BH40" s="204">
        <f t="shared" si="32"/>
        <v>54352.233638728729</v>
      </c>
      <c r="BI40" s="204">
        <f t="shared" si="32"/>
        <v>54352.233638728729</v>
      </c>
      <c r="BJ40" s="204">
        <f t="shared" si="32"/>
        <v>54352.233638728729</v>
      </c>
      <c r="BK40" s="204">
        <f t="shared" si="32"/>
        <v>54352.233638728729</v>
      </c>
      <c r="BL40" s="204">
        <f t="shared" si="32"/>
        <v>54352.233638728729</v>
      </c>
      <c r="BM40" s="204">
        <f t="shared" si="32"/>
        <v>54352.233638728729</v>
      </c>
      <c r="BN40" s="204">
        <f t="shared" si="32"/>
        <v>54352.233638728729</v>
      </c>
      <c r="BO40" s="204">
        <f t="shared" si="32"/>
        <v>54352.233638728729</v>
      </c>
      <c r="BP40" s="204">
        <f t="shared" si="32"/>
        <v>54352.233638728729</v>
      </c>
      <c r="BQ40" s="204">
        <f t="shared" si="32"/>
        <v>54352.233638728729</v>
      </c>
      <c r="BR40" s="204">
        <f t="shared" si="32"/>
        <v>54352.233638728729</v>
      </c>
      <c r="BS40" s="204">
        <f t="shared" si="32"/>
        <v>54352.233638728729</v>
      </c>
      <c r="BT40" s="204">
        <f t="shared" si="32"/>
        <v>54352.233638728729</v>
      </c>
      <c r="BU40" s="204">
        <f t="shared" si="32"/>
        <v>54352.233638728729</v>
      </c>
      <c r="BV40" s="204">
        <f t="shared" si="32"/>
        <v>54352.233638728729</v>
      </c>
      <c r="BW40" s="204">
        <f t="shared" si="32"/>
        <v>54352.233638728729</v>
      </c>
      <c r="BX40" s="204">
        <f t="shared" si="32"/>
        <v>54352.233638728729</v>
      </c>
      <c r="BY40" s="204">
        <f t="shared" si="32"/>
        <v>54352.233638728729</v>
      </c>
      <c r="BZ40" s="204">
        <f t="shared" si="32"/>
        <v>54352.233638728729</v>
      </c>
      <c r="CA40" s="204">
        <f t="shared" si="32"/>
        <v>54352.233638728729</v>
      </c>
      <c r="CB40" s="204">
        <f t="shared" si="32"/>
        <v>54352.233638728729</v>
      </c>
      <c r="CC40" s="204">
        <f t="shared" si="32"/>
        <v>54352.233638728721</v>
      </c>
      <c r="CD40" s="204">
        <f t="shared" si="32"/>
        <v>54352.233638728721</v>
      </c>
      <c r="CE40" s="204">
        <f t="shared" si="33"/>
        <v>54352.233638728721</v>
      </c>
      <c r="CF40" s="204">
        <f t="shared" si="33"/>
        <v>54352.233638728721</v>
      </c>
      <c r="CG40" s="204">
        <f t="shared" si="33"/>
        <v>54352.233638728721</v>
      </c>
      <c r="CH40" s="204">
        <f t="shared" si="33"/>
        <v>54352.233638728721</v>
      </c>
      <c r="CI40" s="204">
        <f t="shared" si="33"/>
        <v>54352.233638728721</v>
      </c>
      <c r="CJ40" s="204">
        <f t="shared" si="33"/>
        <v>54352.233638728721</v>
      </c>
      <c r="CK40" s="204">
        <f t="shared" si="33"/>
        <v>54352.233638728721</v>
      </c>
      <c r="CL40" s="204">
        <f t="shared" si="33"/>
        <v>54352.233638728721</v>
      </c>
      <c r="CM40" s="204">
        <f t="shared" si="33"/>
        <v>54352.233638728721</v>
      </c>
      <c r="CN40" s="204">
        <f t="shared" si="33"/>
        <v>54352.233638728721</v>
      </c>
      <c r="CO40" s="204">
        <f t="shared" si="33"/>
        <v>54352.233638728721</v>
      </c>
      <c r="CP40" s="204">
        <f t="shared" si="33"/>
        <v>54352.233638728721</v>
      </c>
      <c r="CQ40" s="204">
        <f t="shared" si="33"/>
        <v>54352.233638728721</v>
      </c>
      <c r="CR40" s="204">
        <f t="shared" si="33"/>
        <v>54352.233638728729</v>
      </c>
      <c r="CS40" s="204">
        <f t="shared" si="34"/>
        <v>54352.233638728729</v>
      </c>
      <c r="CT40" s="204">
        <f t="shared" si="34"/>
        <v>54352.233638728729</v>
      </c>
      <c r="CU40" s="204">
        <f t="shared" si="34"/>
        <v>54352.233638728729</v>
      </c>
      <c r="CV40" s="204">
        <f t="shared" si="34"/>
        <v>54352.233638728729</v>
      </c>
      <c r="CW40" s="204">
        <f t="shared" si="34"/>
        <v>54352.233638728729</v>
      </c>
      <c r="CX40" s="204">
        <f t="shared" si="34"/>
        <v>54352.233638728729</v>
      </c>
      <c r="CY40" s="204">
        <f t="shared" si="34"/>
        <v>54352.233638728729</v>
      </c>
      <c r="CZ40" s="204">
        <f t="shared" si="34"/>
        <v>54352.233638728729</v>
      </c>
      <c r="DA40" s="204">
        <f t="shared" si="34"/>
        <v>54352.233638728729</v>
      </c>
    </row>
    <row r="42" spans="1:105">
      <c r="A42" s="201" t="str">
        <f>Income!A72</f>
        <v>Own crops Consumed</v>
      </c>
      <c r="F42" s="210">
        <f t="shared" ref="F42:AK42" si="36">IF(F$22&lt;=$E$24,IF(F$22&lt;=$D$24,IF(F$22&lt;=$C$24,IF(F$22&lt;=$B$24,$B108,($C25-$B25)/($C$24-$B$24)),($D25-$C25)/($D$24-$C$24)),($E25-$D25)/($E$24-$D$24)),$F108)</f>
        <v>0</v>
      </c>
      <c r="G42" s="210">
        <f t="shared" si="36"/>
        <v>0</v>
      </c>
      <c r="H42" s="210">
        <f t="shared" si="36"/>
        <v>0</v>
      </c>
      <c r="I42" s="210">
        <f t="shared" si="36"/>
        <v>0</v>
      </c>
      <c r="J42" s="210">
        <f t="shared" si="36"/>
        <v>0</v>
      </c>
      <c r="K42" s="210">
        <f t="shared" si="36"/>
        <v>0</v>
      </c>
      <c r="L42" s="210">
        <f t="shared" si="36"/>
        <v>0</v>
      </c>
      <c r="M42" s="210">
        <f t="shared" si="36"/>
        <v>0</v>
      </c>
      <c r="N42" s="210">
        <f t="shared" si="36"/>
        <v>0</v>
      </c>
      <c r="O42" s="210">
        <f t="shared" si="36"/>
        <v>0</v>
      </c>
      <c r="P42" s="210">
        <f t="shared" si="36"/>
        <v>0</v>
      </c>
      <c r="Q42" s="210">
        <f t="shared" si="36"/>
        <v>0</v>
      </c>
      <c r="R42" s="210">
        <f t="shared" si="36"/>
        <v>0</v>
      </c>
      <c r="S42" s="210">
        <f t="shared" si="36"/>
        <v>0</v>
      </c>
      <c r="T42" s="210">
        <f t="shared" si="36"/>
        <v>0</v>
      </c>
      <c r="U42" s="210">
        <f t="shared" si="36"/>
        <v>0</v>
      </c>
      <c r="V42" s="210">
        <f t="shared" si="36"/>
        <v>0</v>
      </c>
      <c r="W42" s="210">
        <f t="shared" si="36"/>
        <v>0</v>
      </c>
      <c r="X42" s="210">
        <f t="shared" si="36"/>
        <v>0</v>
      </c>
      <c r="Y42" s="210">
        <f t="shared" si="36"/>
        <v>0</v>
      </c>
      <c r="Z42" s="210">
        <f t="shared" si="36"/>
        <v>0</v>
      </c>
      <c r="AA42" s="210">
        <f t="shared" si="36"/>
        <v>0</v>
      </c>
      <c r="AB42" s="210">
        <f t="shared" si="36"/>
        <v>0</v>
      </c>
      <c r="AC42" s="210">
        <f t="shared" si="36"/>
        <v>0</v>
      </c>
      <c r="AD42" s="210">
        <f t="shared" si="36"/>
        <v>0</v>
      </c>
      <c r="AE42" s="210">
        <f t="shared" si="36"/>
        <v>0</v>
      </c>
      <c r="AF42" s="210">
        <f t="shared" si="36"/>
        <v>68.563056281680431</v>
      </c>
      <c r="AG42" s="210">
        <f t="shared" si="36"/>
        <v>68.563056281680431</v>
      </c>
      <c r="AH42" s="210">
        <f t="shared" si="36"/>
        <v>68.563056281680431</v>
      </c>
      <c r="AI42" s="210">
        <f t="shared" si="36"/>
        <v>68.563056281680431</v>
      </c>
      <c r="AJ42" s="210">
        <f t="shared" si="36"/>
        <v>68.563056281680431</v>
      </c>
      <c r="AK42" s="210">
        <f t="shared" si="36"/>
        <v>68.563056281680431</v>
      </c>
      <c r="AL42" s="210">
        <f t="shared" ref="AL42:BQ42" si="37">IF(AL$22&lt;=$E$24,IF(AL$22&lt;=$D$24,IF(AL$22&lt;=$C$24,IF(AL$22&lt;=$B$24,$B108,($C25-$B25)/($C$24-$B$24)),($D25-$C25)/($D$24-$C$24)),($E25-$D25)/($E$24-$D$24)),$F108)</f>
        <v>68.563056281680431</v>
      </c>
      <c r="AM42" s="210">
        <f t="shared" si="37"/>
        <v>68.563056281680431</v>
      </c>
      <c r="AN42" s="210">
        <f t="shared" si="37"/>
        <v>68.563056281680431</v>
      </c>
      <c r="AO42" s="210">
        <f t="shared" si="37"/>
        <v>68.563056281680431</v>
      </c>
      <c r="AP42" s="210">
        <f t="shared" si="37"/>
        <v>68.563056281680431</v>
      </c>
      <c r="AQ42" s="210">
        <f t="shared" si="37"/>
        <v>68.563056281680431</v>
      </c>
      <c r="AR42" s="210">
        <f t="shared" si="37"/>
        <v>68.563056281680431</v>
      </c>
      <c r="AS42" s="210">
        <f t="shared" si="37"/>
        <v>68.563056281680431</v>
      </c>
      <c r="AT42" s="210">
        <f t="shared" si="37"/>
        <v>68.563056281680431</v>
      </c>
      <c r="AU42" s="210">
        <f t="shared" si="37"/>
        <v>68.563056281680431</v>
      </c>
      <c r="AV42" s="210">
        <f t="shared" si="37"/>
        <v>68.563056281680431</v>
      </c>
      <c r="AW42" s="210">
        <f t="shared" si="37"/>
        <v>68.563056281680431</v>
      </c>
      <c r="AX42" s="210">
        <f t="shared" si="37"/>
        <v>68.563056281680431</v>
      </c>
      <c r="AY42" s="210">
        <f t="shared" si="37"/>
        <v>68.563056281680431</v>
      </c>
      <c r="AZ42" s="210">
        <f t="shared" si="37"/>
        <v>68.563056281680431</v>
      </c>
      <c r="BA42" s="210">
        <f t="shared" si="37"/>
        <v>68.563056281680431</v>
      </c>
      <c r="BB42" s="210">
        <f t="shared" si="37"/>
        <v>68.563056281680431</v>
      </c>
      <c r="BC42" s="210">
        <f t="shared" si="37"/>
        <v>68.563056281680431</v>
      </c>
      <c r="BD42" s="210">
        <f t="shared" si="37"/>
        <v>68.563056281680431</v>
      </c>
      <c r="BE42" s="210">
        <f t="shared" si="37"/>
        <v>68.563056281680431</v>
      </c>
      <c r="BF42" s="210">
        <f t="shared" si="37"/>
        <v>68.563056281680431</v>
      </c>
      <c r="BG42" s="210">
        <f t="shared" si="37"/>
        <v>68.563056281680431</v>
      </c>
      <c r="BH42" s="210">
        <f t="shared" si="37"/>
        <v>68.563056281680431</v>
      </c>
      <c r="BI42" s="210">
        <f t="shared" si="37"/>
        <v>68.563056281680431</v>
      </c>
      <c r="BJ42" s="210">
        <f t="shared" si="37"/>
        <v>68.563056281680431</v>
      </c>
      <c r="BK42" s="210">
        <f t="shared" si="37"/>
        <v>68.563056281680431</v>
      </c>
      <c r="BL42" s="210">
        <f t="shared" si="37"/>
        <v>68.563056281680431</v>
      </c>
      <c r="BM42" s="210">
        <f t="shared" si="37"/>
        <v>68.563056281680431</v>
      </c>
      <c r="BN42" s="210">
        <f t="shared" si="37"/>
        <v>68.563056281680431</v>
      </c>
      <c r="BO42" s="210">
        <f t="shared" si="37"/>
        <v>68.563056281680431</v>
      </c>
      <c r="BP42" s="210">
        <f t="shared" si="37"/>
        <v>68.563056281680431</v>
      </c>
      <c r="BQ42" s="210">
        <f t="shared" si="37"/>
        <v>-15.800996813396228</v>
      </c>
      <c r="BR42" s="210">
        <f t="shared" ref="BR42:DA42" si="38">IF(BR$22&lt;=$E$24,IF(BR$22&lt;=$D$24,IF(BR$22&lt;=$C$24,IF(BR$22&lt;=$B$24,$B108,($C25-$B25)/($C$24-$B$24)),($D25-$C25)/($D$24-$C$24)),($E25-$D25)/($E$24-$D$24)),$F108)</f>
        <v>-15.800996813396228</v>
      </c>
      <c r="BS42" s="210">
        <f t="shared" si="38"/>
        <v>-15.800996813396228</v>
      </c>
      <c r="BT42" s="210">
        <f t="shared" si="38"/>
        <v>-15.800996813396228</v>
      </c>
      <c r="BU42" s="210">
        <f t="shared" si="38"/>
        <v>-15.800996813396228</v>
      </c>
      <c r="BV42" s="210">
        <f t="shared" si="38"/>
        <v>-15.800996813396228</v>
      </c>
      <c r="BW42" s="210">
        <f t="shared" si="38"/>
        <v>-15.800996813396228</v>
      </c>
      <c r="BX42" s="210">
        <f t="shared" si="38"/>
        <v>-15.800996813396228</v>
      </c>
      <c r="BY42" s="210">
        <f t="shared" si="38"/>
        <v>-15.800996813396228</v>
      </c>
      <c r="BZ42" s="210">
        <f t="shared" si="38"/>
        <v>-15.800996813396228</v>
      </c>
      <c r="CA42" s="210">
        <f t="shared" si="38"/>
        <v>-15.800996813396228</v>
      </c>
      <c r="CB42" s="210">
        <f t="shared" si="38"/>
        <v>-15.800996813396228</v>
      </c>
      <c r="CC42" s="210">
        <f t="shared" si="38"/>
        <v>-15.800996813396228</v>
      </c>
      <c r="CD42" s="210">
        <f t="shared" si="38"/>
        <v>-15.800996813396228</v>
      </c>
      <c r="CE42" s="210">
        <f t="shared" si="38"/>
        <v>-15.800996813396228</v>
      </c>
      <c r="CF42" s="210">
        <f t="shared" si="38"/>
        <v>-15.800996813396228</v>
      </c>
      <c r="CG42" s="210">
        <f t="shared" si="38"/>
        <v>-15.800996813396228</v>
      </c>
      <c r="CH42" s="210">
        <f t="shared" si="38"/>
        <v>-15.800996813396228</v>
      </c>
      <c r="CI42" s="210">
        <f t="shared" si="38"/>
        <v>-15.800996813396228</v>
      </c>
      <c r="CJ42" s="210">
        <f t="shared" si="38"/>
        <v>-15.800996813396228</v>
      </c>
      <c r="CK42" s="210">
        <f t="shared" si="38"/>
        <v>-89.323059559996324</v>
      </c>
      <c r="CL42" s="210">
        <f t="shared" si="38"/>
        <v>-89.323059559996324</v>
      </c>
      <c r="CM42" s="210">
        <f t="shared" si="38"/>
        <v>-89.323059559996324</v>
      </c>
      <c r="CN42" s="210">
        <f t="shared" si="38"/>
        <v>-89.323059559996324</v>
      </c>
      <c r="CO42" s="210">
        <f t="shared" si="38"/>
        <v>-89.323059559996324</v>
      </c>
      <c r="CP42" s="210">
        <f t="shared" si="38"/>
        <v>-89.323059559996324</v>
      </c>
      <c r="CQ42" s="210">
        <f t="shared" si="38"/>
        <v>-89.323059559996324</v>
      </c>
      <c r="CR42" s="210">
        <f t="shared" si="38"/>
        <v>-89.323059559996324</v>
      </c>
      <c r="CS42" s="210">
        <f t="shared" si="38"/>
        <v>-89.323059559996324</v>
      </c>
      <c r="CT42" s="210">
        <f t="shared" si="38"/>
        <v>-89.323059559996324</v>
      </c>
      <c r="CU42" s="210">
        <f t="shared" si="38"/>
        <v>-89.323059559996324</v>
      </c>
      <c r="CV42" s="210">
        <f t="shared" si="38"/>
        <v>-89.323059559996324</v>
      </c>
      <c r="CW42" s="210">
        <f t="shared" si="38"/>
        <v>-89.323059559996324</v>
      </c>
      <c r="CX42" s="210">
        <f t="shared" si="38"/>
        <v>106.36000000000007</v>
      </c>
      <c r="CY42" s="210">
        <f t="shared" si="38"/>
        <v>106.36000000000007</v>
      </c>
      <c r="CZ42" s="210">
        <f t="shared" si="38"/>
        <v>106.36000000000007</v>
      </c>
      <c r="DA42" s="210">
        <f t="shared" si="38"/>
        <v>106.36000000000007</v>
      </c>
    </row>
    <row r="43" spans="1:105">
      <c r="A43" s="201" t="str">
        <f>Income!A73</f>
        <v>Own crops sold</v>
      </c>
      <c r="F43" s="210">
        <f t="shared" ref="F43:AK43" si="39">IF(F$22&lt;=$E$24,IF(F$22&lt;=$D$24,IF(F$22&lt;=$C$24,IF(F$22&lt;=$B$24,$B109,($C26-$B26)/($C$24-$B$24)),($D26-$C26)/($D$24-$C$24)),($E26-$D26)/($E$24-$D$24)),$F109)</f>
        <v>340.26</v>
      </c>
      <c r="G43" s="210">
        <f t="shared" si="39"/>
        <v>340.26</v>
      </c>
      <c r="H43" s="210">
        <f t="shared" si="39"/>
        <v>340.26</v>
      </c>
      <c r="I43" s="210">
        <f t="shared" si="39"/>
        <v>340.26</v>
      </c>
      <c r="J43" s="210">
        <f t="shared" si="39"/>
        <v>340.26</v>
      </c>
      <c r="K43" s="210">
        <f t="shared" si="39"/>
        <v>340.26</v>
      </c>
      <c r="L43" s="210">
        <f>IF(L$22&lt;=$E$24,IF(L$22&lt;=$D$24,IF(L$22&lt;=$C$24,IF(L$22&lt;=$B$24,$B109,($C26-$B26)/($C$24-$B$24)),($D26-$C26)/($D$24-$C$24)),($E26-$D26)/($E$24-$D$24)),$F109)</f>
        <v>340.26</v>
      </c>
      <c r="M43" s="210">
        <f t="shared" si="39"/>
        <v>340.26</v>
      </c>
      <c r="N43" s="210">
        <f t="shared" si="39"/>
        <v>340.26</v>
      </c>
      <c r="O43" s="210">
        <f t="shared" si="39"/>
        <v>340.26</v>
      </c>
      <c r="P43" s="210">
        <f t="shared" si="39"/>
        <v>340.26</v>
      </c>
      <c r="Q43" s="210">
        <f t="shared" si="39"/>
        <v>340.26</v>
      </c>
      <c r="R43" s="210">
        <f t="shared" si="39"/>
        <v>340.26</v>
      </c>
      <c r="S43" s="210">
        <f t="shared" si="39"/>
        <v>340.26</v>
      </c>
      <c r="T43" s="210">
        <f t="shared" si="39"/>
        <v>340.26</v>
      </c>
      <c r="U43" s="210">
        <f t="shared" si="39"/>
        <v>340.26</v>
      </c>
      <c r="V43" s="210">
        <f t="shared" si="39"/>
        <v>340.26</v>
      </c>
      <c r="W43" s="210">
        <f t="shared" si="39"/>
        <v>340.26</v>
      </c>
      <c r="X43" s="210">
        <f t="shared" si="39"/>
        <v>340.26</v>
      </c>
      <c r="Y43" s="210">
        <f t="shared" si="39"/>
        <v>340.26</v>
      </c>
      <c r="Z43" s="210">
        <f t="shared" si="39"/>
        <v>340.26</v>
      </c>
      <c r="AA43" s="210">
        <f t="shared" si="39"/>
        <v>340.26</v>
      </c>
      <c r="AB43" s="210">
        <f t="shared" si="39"/>
        <v>340.26</v>
      </c>
      <c r="AC43" s="210">
        <f t="shared" si="39"/>
        <v>340.26</v>
      </c>
      <c r="AD43" s="210">
        <f t="shared" si="39"/>
        <v>340.26</v>
      </c>
      <c r="AE43" s="210">
        <f t="shared" si="39"/>
        <v>340.26</v>
      </c>
      <c r="AF43" s="210">
        <f t="shared" si="39"/>
        <v>66.170849341169458</v>
      </c>
      <c r="AG43" s="210">
        <f t="shared" si="39"/>
        <v>66.170849341169458</v>
      </c>
      <c r="AH43" s="210">
        <f t="shared" si="39"/>
        <v>66.170849341169458</v>
      </c>
      <c r="AI43" s="210">
        <f t="shared" si="39"/>
        <v>66.170849341169458</v>
      </c>
      <c r="AJ43" s="210">
        <f t="shared" si="39"/>
        <v>66.170849341169458</v>
      </c>
      <c r="AK43" s="210">
        <f t="shared" si="39"/>
        <v>66.170849341169458</v>
      </c>
      <c r="AL43" s="210">
        <f t="shared" ref="AL43:BQ43" si="40">IF(AL$22&lt;=$E$24,IF(AL$22&lt;=$D$24,IF(AL$22&lt;=$C$24,IF(AL$22&lt;=$B$24,$B109,($C26-$B26)/($C$24-$B$24)),($D26-$C26)/($D$24-$C$24)),($E26-$D26)/($E$24-$D$24)),$F109)</f>
        <v>66.170849341169458</v>
      </c>
      <c r="AM43" s="210">
        <f t="shared" si="40"/>
        <v>66.170849341169458</v>
      </c>
      <c r="AN43" s="210">
        <f t="shared" si="40"/>
        <v>66.170849341169458</v>
      </c>
      <c r="AO43" s="210">
        <f t="shared" si="40"/>
        <v>66.170849341169458</v>
      </c>
      <c r="AP43" s="210">
        <f t="shared" si="40"/>
        <v>66.170849341169458</v>
      </c>
      <c r="AQ43" s="210">
        <f t="shared" si="40"/>
        <v>66.170849341169458</v>
      </c>
      <c r="AR43" s="210">
        <f t="shared" si="40"/>
        <v>66.170849341169458</v>
      </c>
      <c r="AS43" s="210">
        <f t="shared" si="40"/>
        <v>66.170849341169458</v>
      </c>
      <c r="AT43" s="210">
        <f t="shared" si="40"/>
        <v>66.170849341169458</v>
      </c>
      <c r="AU43" s="210">
        <f t="shared" si="40"/>
        <v>66.170849341169458</v>
      </c>
      <c r="AV43" s="210">
        <f t="shared" si="40"/>
        <v>66.170849341169458</v>
      </c>
      <c r="AW43" s="210">
        <f t="shared" si="40"/>
        <v>66.170849341169458</v>
      </c>
      <c r="AX43" s="210">
        <f t="shared" si="40"/>
        <v>66.170849341169458</v>
      </c>
      <c r="AY43" s="210">
        <f t="shared" si="40"/>
        <v>66.170849341169458</v>
      </c>
      <c r="AZ43" s="210">
        <f t="shared" si="40"/>
        <v>66.170849341169458</v>
      </c>
      <c r="BA43" s="210">
        <f t="shared" si="40"/>
        <v>66.170849341169458</v>
      </c>
      <c r="BB43" s="210">
        <f t="shared" si="40"/>
        <v>66.170849341169458</v>
      </c>
      <c r="BC43" s="210">
        <f t="shared" si="40"/>
        <v>66.170849341169458</v>
      </c>
      <c r="BD43" s="210">
        <f t="shared" si="40"/>
        <v>66.170849341169458</v>
      </c>
      <c r="BE43" s="210">
        <f t="shared" si="40"/>
        <v>66.170849341169458</v>
      </c>
      <c r="BF43" s="210">
        <f t="shared" si="40"/>
        <v>66.170849341169458</v>
      </c>
      <c r="BG43" s="210">
        <f t="shared" si="40"/>
        <v>66.170849341169458</v>
      </c>
      <c r="BH43" s="210">
        <f t="shared" si="40"/>
        <v>66.170849341169458</v>
      </c>
      <c r="BI43" s="210">
        <f t="shared" si="40"/>
        <v>66.170849341169458</v>
      </c>
      <c r="BJ43" s="210">
        <f t="shared" si="40"/>
        <v>66.170849341169458</v>
      </c>
      <c r="BK43" s="210">
        <f t="shared" si="40"/>
        <v>66.170849341169458</v>
      </c>
      <c r="BL43" s="210">
        <f t="shared" si="40"/>
        <v>66.170849341169458</v>
      </c>
      <c r="BM43" s="210">
        <f t="shared" si="40"/>
        <v>66.170849341169458</v>
      </c>
      <c r="BN43" s="210">
        <f t="shared" si="40"/>
        <v>66.170849341169458</v>
      </c>
      <c r="BO43" s="210">
        <f t="shared" si="40"/>
        <v>66.170849341169458</v>
      </c>
      <c r="BP43" s="210">
        <f t="shared" si="40"/>
        <v>66.170849341169458</v>
      </c>
      <c r="BQ43" s="210">
        <f t="shared" si="40"/>
        <v>1767.9489942842363</v>
      </c>
      <c r="BR43" s="210">
        <f t="shared" ref="BR43:DA43" si="41">IF(BR$22&lt;=$E$24,IF(BR$22&lt;=$D$24,IF(BR$22&lt;=$C$24,IF(BR$22&lt;=$B$24,$B109,($C26-$B26)/($C$24-$B$24)),($D26-$C26)/($D$24-$C$24)),($E26-$D26)/($E$24-$D$24)),$F109)</f>
        <v>1767.9489942842363</v>
      </c>
      <c r="BS43" s="210">
        <f t="shared" si="41"/>
        <v>1767.9489942842363</v>
      </c>
      <c r="BT43" s="210">
        <f t="shared" si="41"/>
        <v>1767.9489942842363</v>
      </c>
      <c r="BU43" s="210">
        <f t="shared" si="41"/>
        <v>1767.9489942842363</v>
      </c>
      <c r="BV43" s="210">
        <f t="shared" si="41"/>
        <v>1767.9489942842363</v>
      </c>
      <c r="BW43" s="210">
        <f t="shared" si="41"/>
        <v>1767.9489942842363</v>
      </c>
      <c r="BX43" s="210">
        <f t="shared" si="41"/>
        <v>1767.9489942842363</v>
      </c>
      <c r="BY43" s="210">
        <f t="shared" si="41"/>
        <v>1767.9489942842363</v>
      </c>
      <c r="BZ43" s="210">
        <f t="shared" si="41"/>
        <v>1767.9489942842363</v>
      </c>
      <c r="CA43" s="210">
        <f t="shared" si="41"/>
        <v>1767.9489942842363</v>
      </c>
      <c r="CB43" s="210">
        <f t="shared" si="41"/>
        <v>1767.9489942842363</v>
      </c>
      <c r="CC43" s="210">
        <f t="shared" si="41"/>
        <v>1767.9489942842363</v>
      </c>
      <c r="CD43" s="210">
        <f t="shared" si="41"/>
        <v>1767.9489942842363</v>
      </c>
      <c r="CE43" s="210">
        <f t="shared" si="41"/>
        <v>1767.9489942842363</v>
      </c>
      <c r="CF43" s="210">
        <f t="shared" si="41"/>
        <v>1767.9489942842363</v>
      </c>
      <c r="CG43" s="210">
        <f t="shared" si="41"/>
        <v>1767.9489942842363</v>
      </c>
      <c r="CH43" s="210">
        <f t="shared" si="41"/>
        <v>1767.9489942842363</v>
      </c>
      <c r="CI43" s="210">
        <f t="shared" si="41"/>
        <v>1767.9489942842363</v>
      </c>
      <c r="CJ43" s="210">
        <f t="shared" si="41"/>
        <v>1767.9489942842363</v>
      </c>
      <c r="CK43" s="210">
        <f t="shared" si="41"/>
        <v>-1827.5454679313971</v>
      </c>
      <c r="CL43" s="210">
        <f t="shared" si="41"/>
        <v>-1827.5454679313971</v>
      </c>
      <c r="CM43" s="210">
        <f t="shared" si="41"/>
        <v>-1827.5454679313971</v>
      </c>
      <c r="CN43" s="210">
        <f t="shared" si="41"/>
        <v>-1827.5454679313971</v>
      </c>
      <c r="CO43" s="210">
        <f t="shared" si="41"/>
        <v>-1827.5454679313971</v>
      </c>
      <c r="CP43" s="210">
        <f t="shared" si="41"/>
        <v>-1827.5454679313971</v>
      </c>
      <c r="CQ43" s="210">
        <f t="shared" si="41"/>
        <v>-1827.5454679313971</v>
      </c>
      <c r="CR43" s="210">
        <f t="shared" si="41"/>
        <v>-1827.5454679313971</v>
      </c>
      <c r="CS43" s="210">
        <f t="shared" si="41"/>
        <v>-1827.5454679313971</v>
      </c>
      <c r="CT43" s="210">
        <f t="shared" si="41"/>
        <v>-1827.5454679313971</v>
      </c>
      <c r="CU43" s="210">
        <f t="shared" si="41"/>
        <v>-1827.5454679313971</v>
      </c>
      <c r="CV43" s="210">
        <f t="shared" si="41"/>
        <v>-1827.5454679313971</v>
      </c>
      <c r="CW43" s="210">
        <f t="shared" si="41"/>
        <v>-1827.5454679313971</v>
      </c>
      <c r="CX43" s="210">
        <f t="shared" si="41"/>
        <v>724.86000000000013</v>
      </c>
      <c r="CY43" s="210">
        <f t="shared" si="41"/>
        <v>724.86000000000013</v>
      </c>
      <c r="CZ43" s="210">
        <f t="shared" si="41"/>
        <v>724.86000000000013</v>
      </c>
      <c r="DA43" s="210">
        <f t="shared" si="41"/>
        <v>724.86000000000013</v>
      </c>
    </row>
    <row r="44" spans="1:105">
      <c r="A44" s="201" t="str">
        <f>Income!A74</f>
        <v>Animal products consumed</v>
      </c>
      <c r="F44" s="210">
        <f t="shared" ref="F44:AK44" si="42">IF(F$22&lt;=$E$24,IF(F$22&lt;=$D$24,IF(F$22&lt;=$C$24,IF(F$22&lt;=$B$24,$B110,($C27-$B27)/($C$24-$B$24)),($D27-$C27)/($D$24-$C$24)),($E27-$D27)/($E$24-$D$24)),$F110)</f>
        <v>0</v>
      </c>
      <c r="G44" s="210">
        <f t="shared" si="42"/>
        <v>0</v>
      </c>
      <c r="H44" s="210">
        <f t="shared" si="42"/>
        <v>0</v>
      </c>
      <c r="I44" s="210">
        <f t="shared" si="42"/>
        <v>0</v>
      </c>
      <c r="J44" s="210">
        <f t="shared" si="42"/>
        <v>0</v>
      </c>
      <c r="K44" s="210">
        <f t="shared" si="42"/>
        <v>0</v>
      </c>
      <c r="L44" s="210">
        <f t="shared" si="42"/>
        <v>0</v>
      </c>
      <c r="M44" s="210">
        <f t="shared" si="42"/>
        <v>0</v>
      </c>
      <c r="N44" s="210">
        <f t="shared" si="42"/>
        <v>0</v>
      </c>
      <c r="O44" s="210">
        <f t="shared" si="42"/>
        <v>0</v>
      </c>
      <c r="P44" s="210">
        <f t="shared" si="42"/>
        <v>0</v>
      </c>
      <c r="Q44" s="210">
        <f t="shared" si="42"/>
        <v>0</v>
      </c>
      <c r="R44" s="210">
        <f t="shared" si="42"/>
        <v>0</v>
      </c>
      <c r="S44" s="210">
        <f t="shared" si="42"/>
        <v>0</v>
      </c>
      <c r="T44" s="210">
        <f t="shared" si="42"/>
        <v>0</v>
      </c>
      <c r="U44" s="210">
        <f t="shared" si="42"/>
        <v>0</v>
      </c>
      <c r="V44" s="210">
        <f t="shared" si="42"/>
        <v>0</v>
      </c>
      <c r="W44" s="210">
        <f t="shared" si="42"/>
        <v>0</v>
      </c>
      <c r="X44" s="210">
        <f t="shared" si="42"/>
        <v>0</v>
      </c>
      <c r="Y44" s="210">
        <f t="shared" si="42"/>
        <v>0</v>
      </c>
      <c r="Z44" s="210">
        <f t="shared" si="42"/>
        <v>0</v>
      </c>
      <c r="AA44" s="210">
        <f t="shared" si="42"/>
        <v>0</v>
      </c>
      <c r="AB44" s="210">
        <f t="shared" si="42"/>
        <v>0</v>
      </c>
      <c r="AC44" s="210">
        <f t="shared" si="42"/>
        <v>0</v>
      </c>
      <c r="AD44" s="210">
        <f t="shared" si="42"/>
        <v>0</v>
      </c>
      <c r="AE44" s="210">
        <f t="shared" si="42"/>
        <v>0</v>
      </c>
      <c r="AF44" s="210">
        <f t="shared" si="42"/>
        <v>17.987727312248243</v>
      </c>
      <c r="AG44" s="210">
        <f t="shared" si="42"/>
        <v>17.987727312248243</v>
      </c>
      <c r="AH44" s="210">
        <f t="shared" si="42"/>
        <v>17.987727312248243</v>
      </c>
      <c r="AI44" s="210">
        <f t="shared" si="42"/>
        <v>17.987727312248243</v>
      </c>
      <c r="AJ44" s="210">
        <f t="shared" si="42"/>
        <v>17.987727312248243</v>
      </c>
      <c r="AK44" s="210">
        <f t="shared" si="42"/>
        <v>17.987727312248243</v>
      </c>
      <c r="AL44" s="210">
        <f t="shared" ref="AL44:BQ44" si="43">IF(AL$22&lt;=$E$24,IF(AL$22&lt;=$D$24,IF(AL$22&lt;=$C$24,IF(AL$22&lt;=$B$24,$B110,($C27-$B27)/($C$24-$B$24)),($D27-$C27)/($D$24-$C$24)),($E27-$D27)/($E$24-$D$24)),$F110)</f>
        <v>17.987727312248243</v>
      </c>
      <c r="AM44" s="210">
        <f t="shared" si="43"/>
        <v>17.987727312248243</v>
      </c>
      <c r="AN44" s="210">
        <f t="shared" si="43"/>
        <v>17.987727312248243</v>
      </c>
      <c r="AO44" s="210">
        <f t="shared" si="43"/>
        <v>17.987727312248243</v>
      </c>
      <c r="AP44" s="210">
        <f t="shared" si="43"/>
        <v>17.987727312248243</v>
      </c>
      <c r="AQ44" s="210">
        <f t="shared" si="43"/>
        <v>17.987727312248243</v>
      </c>
      <c r="AR44" s="210">
        <f t="shared" si="43"/>
        <v>17.987727312248243</v>
      </c>
      <c r="AS44" s="210">
        <f t="shared" si="43"/>
        <v>17.987727312248243</v>
      </c>
      <c r="AT44" s="210">
        <f t="shared" si="43"/>
        <v>17.987727312248243</v>
      </c>
      <c r="AU44" s="210">
        <f t="shared" si="43"/>
        <v>17.987727312248243</v>
      </c>
      <c r="AV44" s="210">
        <f t="shared" si="43"/>
        <v>17.987727312248243</v>
      </c>
      <c r="AW44" s="210">
        <f t="shared" si="43"/>
        <v>17.987727312248243</v>
      </c>
      <c r="AX44" s="210">
        <f t="shared" si="43"/>
        <v>17.987727312248243</v>
      </c>
      <c r="AY44" s="210">
        <f t="shared" si="43"/>
        <v>17.987727312248243</v>
      </c>
      <c r="AZ44" s="210">
        <f t="shared" si="43"/>
        <v>17.987727312248243</v>
      </c>
      <c r="BA44" s="210">
        <f t="shared" si="43"/>
        <v>17.987727312248243</v>
      </c>
      <c r="BB44" s="210">
        <f t="shared" si="43"/>
        <v>17.987727312248243</v>
      </c>
      <c r="BC44" s="210">
        <f t="shared" si="43"/>
        <v>17.987727312248243</v>
      </c>
      <c r="BD44" s="210">
        <f t="shared" si="43"/>
        <v>17.987727312248243</v>
      </c>
      <c r="BE44" s="210">
        <f t="shared" si="43"/>
        <v>17.987727312248243</v>
      </c>
      <c r="BF44" s="210">
        <f t="shared" si="43"/>
        <v>17.987727312248243</v>
      </c>
      <c r="BG44" s="210">
        <f t="shared" si="43"/>
        <v>17.987727312248243</v>
      </c>
      <c r="BH44" s="210">
        <f t="shared" si="43"/>
        <v>17.987727312248243</v>
      </c>
      <c r="BI44" s="210">
        <f t="shared" si="43"/>
        <v>17.987727312248243</v>
      </c>
      <c r="BJ44" s="210">
        <f t="shared" si="43"/>
        <v>17.987727312248243</v>
      </c>
      <c r="BK44" s="210">
        <f t="shared" si="43"/>
        <v>17.987727312248243</v>
      </c>
      <c r="BL44" s="210">
        <f t="shared" si="43"/>
        <v>17.987727312248243</v>
      </c>
      <c r="BM44" s="210">
        <f t="shared" si="43"/>
        <v>17.987727312248243</v>
      </c>
      <c r="BN44" s="210">
        <f t="shared" si="43"/>
        <v>17.987727312248243</v>
      </c>
      <c r="BO44" s="210">
        <f t="shared" si="43"/>
        <v>17.987727312248243</v>
      </c>
      <c r="BP44" s="210">
        <f t="shared" si="43"/>
        <v>17.987727312248243</v>
      </c>
      <c r="BQ44" s="210">
        <f t="shared" si="43"/>
        <v>81.163578931390589</v>
      </c>
      <c r="BR44" s="210">
        <f t="shared" ref="BR44:DA44" si="44">IF(BR$22&lt;=$E$24,IF(BR$22&lt;=$D$24,IF(BR$22&lt;=$C$24,IF(BR$22&lt;=$B$24,$B110,($C27-$B27)/($C$24-$B$24)),($D27-$C27)/($D$24-$C$24)),($E27-$D27)/($E$24-$D$24)),$F110)</f>
        <v>81.163578931390589</v>
      </c>
      <c r="BS44" s="210">
        <f t="shared" si="44"/>
        <v>81.163578931390589</v>
      </c>
      <c r="BT44" s="210">
        <f t="shared" si="44"/>
        <v>81.163578931390589</v>
      </c>
      <c r="BU44" s="210">
        <f t="shared" si="44"/>
        <v>81.163578931390589</v>
      </c>
      <c r="BV44" s="210">
        <f t="shared" si="44"/>
        <v>81.163578931390589</v>
      </c>
      <c r="BW44" s="210">
        <f t="shared" si="44"/>
        <v>81.163578931390589</v>
      </c>
      <c r="BX44" s="210">
        <f t="shared" si="44"/>
        <v>81.163578931390589</v>
      </c>
      <c r="BY44" s="210">
        <f t="shared" si="44"/>
        <v>81.163578931390589</v>
      </c>
      <c r="BZ44" s="210">
        <f t="shared" si="44"/>
        <v>81.163578931390589</v>
      </c>
      <c r="CA44" s="210">
        <f t="shared" si="44"/>
        <v>81.163578931390589</v>
      </c>
      <c r="CB44" s="210">
        <f t="shared" si="44"/>
        <v>81.163578931390589</v>
      </c>
      <c r="CC44" s="210">
        <f t="shared" si="44"/>
        <v>81.163578931390589</v>
      </c>
      <c r="CD44" s="210">
        <f t="shared" si="44"/>
        <v>81.163578931390589</v>
      </c>
      <c r="CE44" s="210">
        <f t="shared" si="44"/>
        <v>81.163578931390589</v>
      </c>
      <c r="CF44" s="210">
        <f t="shared" si="44"/>
        <v>81.163578931390589</v>
      </c>
      <c r="CG44" s="210">
        <f t="shared" si="44"/>
        <v>81.163578931390589</v>
      </c>
      <c r="CH44" s="210">
        <f t="shared" si="44"/>
        <v>81.163578931390589</v>
      </c>
      <c r="CI44" s="210">
        <f t="shared" si="44"/>
        <v>81.163578931390589</v>
      </c>
      <c r="CJ44" s="210">
        <f t="shared" si="44"/>
        <v>81.163578931390589</v>
      </c>
      <c r="CK44" s="210">
        <f t="shared" si="44"/>
        <v>44.944912042237192</v>
      </c>
      <c r="CL44" s="210">
        <f t="shared" si="44"/>
        <v>44.944912042237192</v>
      </c>
      <c r="CM44" s="210">
        <f t="shared" si="44"/>
        <v>44.944912042237192</v>
      </c>
      <c r="CN44" s="210">
        <f t="shared" si="44"/>
        <v>44.944912042237192</v>
      </c>
      <c r="CO44" s="210">
        <f t="shared" si="44"/>
        <v>44.944912042237192</v>
      </c>
      <c r="CP44" s="210">
        <f t="shared" si="44"/>
        <v>44.944912042237192</v>
      </c>
      <c r="CQ44" s="210">
        <f t="shared" si="44"/>
        <v>44.944912042237192</v>
      </c>
      <c r="CR44" s="210">
        <f t="shared" si="44"/>
        <v>44.944912042237192</v>
      </c>
      <c r="CS44" s="210">
        <f t="shared" si="44"/>
        <v>44.944912042237192</v>
      </c>
      <c r="CT44" s="210">
        <f t="shared" si="44"/>
        <v>44.944912042237192</v>
      </c>
      <c r="CU44" s="210">
        <f t="shared" si="44"/>
        <v>44.944912042237192</v>
      </c>
      <c r="CV44" s="210">
        <f t="shared" si="44"/>
        <v>44.944912042237192</v>
      </c>
      <c r="CW44" s="210">
        <f t="shared" si="44"/>
        <v>44.944912042237192</v>
      </c>
      <c r="CX44" s="210">
        <f t="shared" si="44"/>
        <v>8.4310000000000009</v>
      </c>
      <c r="CY44" s="210">
        <f t="shared" si="44"/>
        <v>8.4310000000000009</v>
      </c>
      <c r="CZ44" s="210">
        <f t="shared" si="44"/>
        <v>8.4310000000000009</v>
      </c>
      <c r="DA44" s="210">
        <f t="shared" si="44"/>
        <v>8.4310000000000009</v>
      </c>
    </row>
    <row r="45" spans="1:105">
      <c r="A45" s="201" t="str">
        <f>Income!A75</f>
        <v>Animal products sold</v>
      </c>
      <c r="F45" s="210">
        <f t="shared" ref="F45:AK45" si="45">IF(F$22&lt;=$E$24,IF(F$22&lt;=$D$24,IF(F$22&lt;=$C$24,IF(F$22&lt;=$B$24,$B111,($C28-$B28)/($C$24-$B$24)),($D28-$C28)/($D$24-$C$24)),($E28-$D28)/($E$24-$D$24)),$F111)</f>
        <v>0</v>
      </c>
      <c r="G45" s="210">
        <f t="shared" si="45"/>
        <v>0</v>
      </c>
      <c r="H45" s="210">
        <f t="shared" si="45"/>
        <v>0</v>
      </c>
      <c r="I45" s="210">
        <f t="shared" si="45"/>
        <v>0</v>
      </c>
      <c r="J45" s="210">
        <f t="shared" si="45"/>
        <v>0</v>
      </c>
      <c r="K45" s="210">
        <f t="shared" si="45"/>
        <v>0</v>
      </c>
      <c r="L45" s="210">
        <f t="shared" si="45"/>
        <v>0</v>
      </c>
      <c r="M45" s="210">
        <f t="shared" si="45"/>
        <v>0</v>
      </c>
      <c r="N45" s="210">
        <f t="shared" si="45"/>
        <v>0</v>
      </c>
      <c r="O45" s="210">
        <f t="shared" si="45"/>
        <v>0</v>
      </c>
      <c r="P45" s="210">
        <f t="shared" si="45"/>
        <v>0</v>
      </c>
      <c r="Q45" s="210">
        <f t="shared" si="45"/>
        <v>0</v>
      </c>
      <c r="R45" s="210">
        <f t="shared" si="45"/>
        <v>0</v>
      </c>
      <c r="S45" s="210">
        <f t="shared" si="45"/>
        <v>0</v>
      </c>
      <c r="T45" s="210">
        <f t="shared" si="45"/>
        <v>0</v>
      </c>
      <c r="U45" s="210">
        <f t="shared" si="45"/>
        <v>0</v>
      </c>
      <c r="V45" s="210">
        <f t="shared" si="45"/>
        <v>0</v>
      </c>
      <c r="W45" s="210">
        <f t="shared" si="45"/>
        <v>0</v>
      </c>
      <c r="X45" s="210">
        <f t="shared" si="45"/>
        <v>0</v>
      </c>
      <c r="Y45" s="210">
        <f t="shared" si="45"/>
        <v>0</v>
      </c>
      <c r="Z45" s="210">
        <f t="shared" si="45"/>
        <v>0</v>
      </c>
      <c r="AA45" s="210">
        <f t="shared" si="45"/>
        <v>0</v>
      </c>
      <c r="AB45" s="210">
        <f t="shared" si="45"/>
        <v>0</v>
      </c>
      <c r="AC45" s="210">
        <f t="shared" si="45"/>
        <v>0</v>
      </c>
      <c r="AD45" s="210">
        <f t="shared" si="45"/>
        <v>0</v>
      </c>
      <c r="AE45" s="210">
        <f t="shared" si="45"/>
        <v>0</v>
      </c>
      <c r="AF45" s="210">
        <f t="shared" si="45"/>
        <v>0</v>
      </c>
      <c r="AG45" s="210">
        <f t="shared" si="45"/>
        <v>0</v>
      </c>
      <c r="AH45" s="210">
        <f t="shared" si="45"/>
        <v>0</v>
      </c>
      <c r="AI45" s="210">
        <f t="shared" si="45"/>
        <v>0</v>
      </c>
      <c r="AJ45" s="210">
        <f t="shared" si="45"/>
        <v>0</v>
      </c>
      <c r="AK45" s="210">
        <f t="shared" si="45"/>
        <v>0</v>
      </c>
      <c r="AL45" s="210">
        <f t="shared" ref="AL45:BQ45" si="46">IF(AL$22&lt;=$E$24,IF(AL$22&lt;=$D$24,IF(AL$22&lt;=$C$24,IF(AL$22&lt;=$B$24,$B111,($C28-$B28)/($C$24-$B$24)),($D28-$C28)/($D$24-$C$24)),($E28-$D28)/($E$24-$D$24)),$F111)</f>
        <v>0</v>
      </c>
      <c r="AM45" s="210">
        <f t="shared" si="46"/>
        <v>0</v>
      </c>
      <c r="AN45" s="210">
        <f t="shared" si="46"/>
        <v>0</v>
      </c>
      <c r="AO45" s="210">
        <f t="shared" si="46"/>
        <v>0</v>
      </c>
      <c r="AP45" s="210">
        <f t="shared" si="46"/>
        <v>0</v>
      </c>
      <c r="AQ45" s="210">
        <f t="shared" si="46"/>
        <v>0</v>
      </c>
      <c r="AR45" s="210">
        <f t="shared" si="46"/>
        <v>0</v>
      </c>
      <c r="AS45" s="210">
        <f t="shared" si="46"/>
        <v>0</v>
      </c>
      <c r="AT45" s="210">
        <f t="shared" si="46"/>
        <v>0</v>
      </c>
      <c r="AU45" s="210">
        <f t="shared" si="46"/>
        <v>0</v>
      </c>
      <c r="AV45" s="210">
        <f t="shared" si="46"/>
        <v>0</v>
      </c>
      <c r="AW45" s="210">
        <f t="shared" si="46"/>
        <v>0</v>
      </c>
      <c r="AX45" s="210">
        <f t="shared" si="46"/>
        <v>0</v>
      </c>
      <c r="AY45" s="210">
        <f t="shared" si="46"/>
        <v>0</v>
      </c>
      <c r="AZ45" s="210">
        <f t="shared" si="46"/>
        <v>0</v>
      </c>
      <c r="BA45" s="210">
        <f t="shared" si="46"/>
        <v>0</v>
      </c>
      <c r="BB45" s="210">
        <f t="shared" si="46"/>
        <v>0</v>
      </c>
      <c r="BC45" s="210">
        <f t="shared" si="46"/>
        <v>0</v>
      </c>
      <c r="BD45" s="210">
        <f t="shared" si="46"/>
        <v>0</v>
      </c>
      <c r="BE45" s="210">
        <f t="shared" si="46"/>
        <v>0</v>
      </c>
      <c r="BF45" s="210">
        <f t="shared" si="46"/>
        <v>0</v>
      </c>
      <c r="BG45" s="210">
        <f t="shared" si="46"/>
        <v>0</v>
      </c>
      <c r="BH45" s="210">
        <f t="shared" si="46"/>
        <v>0</v>
      </c>
      <c r="BI45" s="210">
        <f t="shared" si="46"/>
        <v>0</v>
      </c>
      <c r="BJ45" s="210">
        <f t="shared" si="46"/>
        <v>0</v>
      </c>
      <c r="BK45" s="210">
        <f t="shared" si="46"/>
        <v>0</v>
      </c>
      <c r="BL45" s="210">
        <f t="shared" si="46"/>
        <v>0</v>
      </c>
      <c r="BM45" s="210">
        <f t="shared" si="46"/>
        <v>0</v>
      </c>
      <c r="BN45" s="210">
        <f t="shared" si="46"/>
        <v>0</v>
      </c>
      <c r="BO45" s="210">
        <f t="shared" si="46"/>
        <v>0</v>
      </c>
      <c r="BP45" s="210">
        <f t="shared" si="46"/>
        <v>0</v>
      </c>
      <c r="BQ45" s="210">
        <f t="shared" si="46"/>
        <v>0</v>
      </c>
      <c r="BR45" s="210">
        <f t="shared" ref="BR45:DA45" si="47">IF(BR$22&lt;=$E$24,IF(BR$22&lt;=$D$24,IF(BR$22&lt;=$C$24,IF(BR$22&lt;=$B$24,$B111,($C28-$B28)/($C$24-$B$24)),($D28-$C28)/($D$24-$C$24)),($E28-$D28)/($E$24-$D$24)),$F111)</f>
        <v>0</v>
      </c>
      <c r="BS45" s="210">
        <f t="shared" si="47"/>
        <v>0</v>
      </c>
      <c r="BT45" s="210">
        <f t="shared" si="47"/>
        <v>0</v>
      </c>
      <c r="BU45" s="210">
        <f t="shared" si="47"/>
        <v>0</v>
      </c>
      <c r="BV45" s="210">
        <f t="shared" si="47"/>
        <v>0</v>
      </c>
      <c r="BW45" s="210">
        <f t="shared" si="47"/>
        <v>0</v>
      </c>
      <c r="BX45" s="210">
        <f t="shared" si="47"/>
        <v>0</v>
      </c>
      <c r="BY45" s="210">
        <f t="shared" si="47"/>
        <v>0</v>
      </c>
      <c r="BZ45" s="210">
        <f t="shared" si="47"/>
        <v>0</v>
      </c>
      <c r="CA45" s="210">
        <f t="shared" si="47"/>
        <v>0</v>
      </c>
      <c r="CB45" s="210">
        <f t="shared" si="47"/>
        <v>0</v>
      </c>
      <c r="CC45" s="210">
        <f t="shared" si="47"/>
        <v>0</v>
      </c>
      <c r="CD45" s="210">
        <f t="shared" si="47"/>
        <v>0</v>
      </c>
      <c r="CE45" s="210">
        <f t="shared" si="47"/>
        <v>0</v>
      </c>
      <c r="CF45" s="210">
        <f t="shared" si="47"/>
        <v>0</v>
      </c>
      <c r="CG45" s="210">
        <f t="shared" si="47"/>
        <v>0</v>
      </c>
      <c r="CH45" s="210">
        <f t="shared" si="47"/>
        <v>0</v>
      </c>
      <c r="CI45" s="210">
        <f t="shared" si="47"/>
        <v>0</v>
      </c>
      <c r="CJ45" s="210">
        <f t="shared" si="47"/>
        <v>0</v>
      </c>
      <c r="CK45" s="210">
        <f t="shared" si="47"/>
        <v>0</v>
      </c>
      <c r="CL45" s="210">
        <f t="shared" si="47"/>
        <v>0</v>
      </c>
      <c r="CM45" s="210">
        <f t="shared" si="47"/>
        <v>0</v>
      </c>
      <c r="CN45" s="210">
        <f t="shared" si="47"/>
        <v>0</v>
      </c>
      <c r="CO45" s="210">
        <f t="shared" si="47"/>
        <v>0</v>
      </c>
      <c r="CP45" s="210">
        <f t="shared" si="47"/>
        <v>0</v>
      </c>
      <c r="CQ45" s="210">
        <f t="shared" si="47"/>
        <v>0</v>
      </c>
      <c r="CR45" s="210">
        <f t="shared" si="47"/>
        <v>0</v>
      </c>
      <c r="CS45" s="210">
        <f t="shared" si="47"/>
        <v>0</v>
      </c>
      <c r="CT45" s="210">
        <f t="shared" si="47"/>
        <v>0</v>
      </c>
      <c r="CU45" s="210">
        <f t="shared" si="47"/>
        <v>0</v>
      </c>
      <c r="CV45" s="210">
        <f t="shared" si="47"/>
        <v>0</v>
      </c>
      <c r="CW45" s="210">
        <f t="shared" si="47"/>
        <v>0</v>
      </c>
      <c r="CX45" s="210">
        <f t="shared" si="47"/>
        <v>0</v>
      </c>
      <c r="CY45" s="210">
        <f t="shared" si="47"/>
        <v>0</v>
      </c>
      <c r="CZ45" s="210">
        <f t="shared" si="47"/>
        <v>0</v>
      </c>
      <c r="DA45" s="210">
        <f t="shared" si="47"/>
        <v>0</v>
      </c>
    </row>
    <row r="46" spans="1:105">
      <c r="A46" s="201" t="str">
        <f>Income!A76</f>
        <v>Animals sold</v>
      </c>
      <c r="F46" s="210">
        <f t="shared" ref="F46:AK46" si="48">IF(F$22&lt;=$E$24,IF(F$22&lt;=$D$24,IF(F$22&lt;=$C$24,IF(F$22&lt;=$B$24,$B112,($C29-$B29)/($C$24-$B$24)),($D29-$C29)/($D$24-$C$24)),($E29-$D29)/($E$24-$D$24)),$F112)</f>
        <v>0</v>
      </c>
      <c r="G46" s="210">
        <f t="shared" si="48"/>
        <v>0</v>
      </c>
      <c r="H46" s="210">
        <f t="shared" si="48"/>
        <v>0</v>
      </c>
      <c r="I46" s="210">
        <f t="shared" si="48"/>
        <v>0</v>
      </c>
      <c r="J46" s="210">
        <f t="shared" si="48"/>
        <v>0</v>
      </c>
      <c r="K46" s="210">
        <f t="shared" si="48"/>
        <v>0</v>
      </c>
      <c r="L46" s="210">
        <f t="shared" si="48"/>
        <v>0</v>
      </c>
      <c r="M46" s="210">
        <f t="shared" si="48"/>
        <v>0</v>
      </c>
      <c r="N46" s="210">
        <f t="shared" si="48"/>
        <v>0</v>
      </c>
      <c r="O46" s="210">
        <f t="shared" si="48"/>
        <v>0</v>
      </c>
      <c r="P46" s="210">
        <f t="shared" si="48"/>
        <v>0</v>
      </c>
      <c r="Q46" s="210">
        <f t="shared" si="48"/>
        <v>0</v>
      </c>
      <c r="R46" s="210">
        <f t="shared" si="48"/>
        <v>0</v>
      </c>
      <c r="S46" s="210">
        <f t="shared" si="48"/>
        <v>0</v>
      </c>
      <c r="T46" s="210">
        <f t="shared" si="48"/>
        <v>0</v>
      </c>
      <c r="U46" s="210">
        <f t="shared" si="48"/>
        <v>0</v>
      </c>
      <c r="V46" s="210">
        <f t="shared" si="48"/>
        <v>0</v>
      </c>
      <c r="W46" s="210">
        <f t="shared" si="48"/>
        <v>0</v>
      </c>
      <c r="X46" s="210">
        <f t="shared" si="48"/>
        <v>0</v>
      </c>
      <c r="Y46" s="210">
        <f t="shared" si="48"/>
        <v>0</v>
      </c>
      <c r="Z46" s="210">
        <f t="shared" si="48"/>
        <v>0</v>
      </c>
      <c r="AA46" s="210">
        <f t="shared" si="48"/>
        <v>0</v>
      </c>
      <c r="AB46" s="210">
        <f t="shared" si="48"/>
        <v>0</v>
      </c>
      <c r="AC46" s="210">
        <f t="shared" si="48"/>
        <v>0</v>
      </c>
      <c r="AD46" s="210">
        <f t="shared" si="48"/>
        <v>0</v>
      </c>
      <c r="AE46" s="210">
        <f t="shared" si="48"/>
        <v>0</v>
      </c>
      <c r="AF46" s="210">
        <f t="shared" si="48"/>
        <v>337.40299685579095</v>
      </c>
      <c r="AG46" s="210">
        <f t="shared" si="48"/>
        <v>337.40299685579095</v>
      </c>
      <c r="AH46" s="210">
        <f t="shared" si="48"/>
        <v>337.40299685579095</v>
      </c>
      <c r="AI46" s="210">
        <f t="shared" si="48"/>
        <v>337.40299685579095</v>
      </c>
      <c r="AJ46" s="210">
        <f t="shared" si="48"/>
        <v>337.40299685579095</v>
      </c>
      <c r="AK46" s="210">
        <f t="shared" si="48"/>
        <v>337.40299685579095</v>
      </c>
      <c r="AL46" s="210">
        <f t="shared" ref="AL46:BQ46" si="49">IF(AL$22&lt;=$E$24,IF(AL$22&lt;=$D$24,IF(AL$22&lt;=$C$24,IF(AL$22&lt;=$B$24,$B112,($C29-$B29)/($C$24-$B$24)),($D29-$C29)/($D$24-$C$24)),($E29-$D29)/($E$24-$D$24)),$F112)</f>
        <v>337.40299685579095</v>
      </c>
      <c r="AM46" s="210">
        <f t="shared" si="49"/>
        <v>337.40299685579095</v>
      </c>
      <c r="AN46" s="210">
        <f t="shared" si="49"/>
        <v>337.40299685579095</v>
      </c>
      <c r="AO46" s="210">
        <f t="shared" si="49"/>
        <v>337.40299685579095</v>
      </c>
      <c r="AP46" s="210">
        <f t="shared" si="49"/>
        <v>337.40299685579095</v>
      </c>
      <c r="AQ46" s="210">
        <f t="shared" si="49"/>
        <v>337.40299685579095</v>
      </c>
      <c r="AR46" s="210">
        <f t="shared" si="49"/>
        <v>337.40299685579095</v>
      </c>
      <c r="AS46" s="210">
        <f t="shared" si="49"/>
        <v>337.40299685579095</v>
      </c>
      <c r="AT46" s="210">
        <f t="shared" si="49"/>
        <v>337.40299685579095</v>
      </c>
      <c r="AU46" s="210">
        <f t="shared" si="49"/>
        <v>337.40299685579095</v>
      </c>
      <c r="AV46" s="210">
        <f t="shared" si="49"/>
        <v>337.40299685579095</v>
      </c>
      <c r="AW46" s="210">
        <f t="shared" si="49"/>
        <v>337.40299685579095</v>
      </c>
      <c r="AX46" s="210">
        <f t="shared" si="49"/>
        <v>337.40299685579095</v>
      </c>
      <c r="AY46" s="210">
        <f t="shared" si="49"/>
        <v>337.40299685579095</v>
      </c>
      <c r="AZ46" s="210">
        <f t="shared" si="49"/>
        <v>337.40299685579095</v>
      </c>
      <c r="BA46" s="210">
        <f t="shared" si="49"/>
        <v>337.40299685579095</v>
      </c>
      <c r="BB46" s="210">
        <f t="shared" si="49"/>
        <v>337.40299685579095</v>
      </c>
      <c r="BC46" s="210">
        <f t="shared" si="49"/>
        <v>337.40299685579095</v>
      </c>
      <c r="BD46" s="210">
        <f t="shared" si="49"/>
        <v>337.40299685579095</v>
      </c>
      <c r="BE46" s="210">
        <f t="shared" si="49"/>
        <v>337.40299685579095</v>
      </c>
      <c r="BF46" s="210">
        <f t="shared" si="49"/>
        <v>337.40299685579095</v>
      </c>
      <c r="BG46" s="210">
        <f t="shared" si="49"/>
        <v>337.40299685579095</v>
      </c>
      <c r="BH46" s="210">
        <f t="shared" si="49"/>
        <v>337.40299685579095</v>
      </c>
      <c r="BI46" s="210">
        <f t="shared" si="49"/>
        <v>337.40299685579095</v>
      </c>
      <c r="BJ46" s="210">
        <f t="shared" si="49"/>
        <v>337.40299685579095</v>
      </c>
      <c r="BK46" s="210">
        <f t="shared" si="49"/>
        <v>337.40299685579095</v>
      </c>
      <c r="BL46" s="210">
        <f t="shared" si="49"/>
        <v>337.40299685579095</v>
      </c>
      <c r="BM46" s="210">
        <f t="shared" si="49"/>
        <v>337.40299685579095</v>
      </c>
      <c r="BN46" s="210">
        <f t="shared" si="49"/>
        <v>337.40299685579095</v>
      </c>
      <c r="BO46" s="210">
        <f t="shared" si="49"/>
        <v>337.40299685579095</v>
      </c>
      <c r="BP46" s="210">
        <f t="shared" si="49"/>
        <v>337.40299685579095</v>
      </c>
      <c r="BQ46" s="210">
        <f t="shared" si="49"/>
        <v>1398.1937480463864</v>
      </c>
      <c r="BR46" s="210">
        <f t="shared" ref="BR46:DA46" si="50">IF(BR$22&lt;=$E$24,IF(BR$22&lt;=$D$24,IF(BR$22&lt;=$C$24,IF(BR$22&lt;=$B$24,$B112,($C29-$B29)/($C$24-$B$24)),($D29-$C29)/($D$24-$C$24)),($E29-$D29)/($E$24-$D$24)),$F112)</f>
        <v>1398.1937480463864</v>
      </c>
      <c r="BS46" s="210">
        <f t="shared" si="50"/>
        <v>1398.1937480463864</v>
      </c>
      <c r="BT46" s="210">
        <f t="shared" si="50"/>
        <v>1398.1937480463864</v>
      </c>
      <c r="BU46" s="210">
        <f t="shared" si="50"/>
        <v>1398.1937480463864</v>
      </c>
      <c r="BV46" s="210">
        <f t="shared" si="50"/>
        <v>1398.1937480463864</v>
      </c>
      <c r="BW46" s="210">
        <f t="shared" si="50"/>
        <v>1398.1937480463864</v>
      </c>
      <c r="BX46" s="210">
        <f t="shared" si="50"/>
        <v>1398.1937480463864</v>
      </c>
      <c r="BY46" s="210">
        <f t="shared" si="50"/>
        <v>1398.1937480463864</v>
      </c>
      <c r="BZ46" s="210">
        <f t="shared" si="50"/>
        <v>1398.1937480463864</v>
      </c>
      <c r="CA46" s="210">
        <f t="shared" si="50"/>
        <v>1398.1937480463864</v>
      </c>
      <c r="CB46" s="210">
        <f t="shared" si="50"/>
        <v>1398.1937480463864</v>
      </c>
      <c r="CC46" s="210">
        <f t="shared" si="50"/>
        <v>1398.1937480463864</v>
      </c>
      <c r="CD46" s="210">
        <f t="shared" si="50"/>
        <v>1398.1937480463864</v>
      </c>
      <c r="CE46" s="210">
        <f t="shared" si="50"/>
        <v>1398.1937480463864</v>
      </c>
      <c r="CF46" s="210">
        <f t="shared" si="50"/>
        <v>1398.1937480463864</v>
      </c>
      <c r="CG46" s="210">
        <f t="shared" si="50"/>
        <v>1398.1937480463864</v>
      </c>
      <c r="CH46" s="210">
        <f t="shared" si="50"/>
        <v>1398.1937480463864</v>
      </c>
      <c r="CI46" s="210">
        <f t="shared" si="50"/>
        <v>1398.1937480463864</v>
      </c>
      <c r="CJ46" s="210">
        <f t="shared" si="50"/>
        <v>1398.1937480463864</v>
      </c>
      <c r="CK46" s="210">
        <f t="shared" si="50"/>
        <v>513.36506610210233</v>
      </c>
      <c r="CL46" s="210">
        <f t="shared" si="50"/>
        <v>513.36506610210233</v>
      </c>
      <c r="CM46" s="210">
        <f t="shared" si="50"/>
        <v>513.36506610210233</v>
      </c>
      <c r="CN46" s="210">
        <f t="shared" si="50"/>
        <v>513.36506610210233</v>
      </c>
      <c r="CO46" s="210">
        <f t="shared" si="50"/>
        <v>513.36506610210233</v>
      </c>
      <c r="CP46" s="210">
        <f t="shared" si="50"/>
        <v>513.36506610210233</v>
      </c>
      <c r="CQ46" s="210">
        <f t="shared" si="50"/>
        <v>513.36506610210233</v>
      </c>
      <c r="CR46" s="210">
        <f t="shared" si="50"/>
        <v>513.36506610210233</v>
      </c>
      <c r="CS46" s="210">
        <f t="shared" si="50"/>
        <v>513.36506610210233</v>
      </c>
      <c r="CT46" s="210">
        <f t="shared" si="50"/>
        <v>513.36506610210233</v>
      </c>
      <c r="CU46" s="210">
        <f t="shared" si="50"/>
        <v>513.36506610210233</v>
      </c>
      <c r="CV46" s="210">
        <f t="shared" si="50"/>
        <v>513.36506610210233</v>
      </c>
      <c r="CW46" s="210">
        <f t="shared" si="50"/>
        <v>513.36506610210233</v>
      </c>
      <c r="CX46" s="210">
        <f t="shared" si="50"/>
        <v>0</v>
      </c>
      <c r="CY46" s="210">
        <f t="shared" si="50"/>
        <v>0</v>
      </c>
      <c r="CZ46" s="210">
        <f t="shared" si="50"/>
        <v>0</v>
      </c>
      <c r="DA46" s="210">
        <f t="shared" si="50"/>
        <v>0</v>
      </c>
    </row>
    <row r="47" spans="1:105">
      <c r="A47" s="201" t="str">
        <f>Income!A77</f>
        <v>Wild foods consumed and sold</v>
      </c>
      <c r="F47" s="210">
        <f t="shared" ref="F47:AK47" si="51">IF(F$22&lt;=$E$24,IF(F$22&lt;=$D$24,IF(F$22&lt;=$C$24,IF(F$22&lt;=$B$24,$B113,($C30-$B30)/($C$24-$B$24)),($D30-$C30)/($D$24-$C$24)),($E30-$D30)/($E$24-$D$24)),$F113)</f>
        <v>0</v>
      </c>
      <c r="G47" s="210">
        <f t="shared" si="51"/>
        <v>0</v>
      </c>
      <c r="H47" s="210">
        <f t="shared" si="51"/>
        <v>0</v>
      </c>
      <c r="I47" s="210">
        <f t="shared" si="51"/>
        <v>0</v>
      </c>
      <c r="J47" s="210">
        <f t="shared" si="51"/>
        <v>0</v>
      </c>
      <c r="K47" s="210">
        <f t="shared" si="51"/>
        <v>0</v>
      </c>
      <c r="L47" s="210">
        <f t="shared" si="51"/>
        <v>0</v>
      </c>
      <c r="M47" s="210">
        <f t="shared" si="51"/>
        <v>0</v>
      </c>
      <c r="N47" s="210">
        <f t="shared" si="51"/>
        <v>0</v>
      </c>
      <c r="O47" s="210">
        <f t="shared" si="51"/>
        <v>0</v>
      </c>
      <c r="P47" s="210">
        <f t="shared" si="51"/>
        <v>0</v>
      </c>
      <c r="Q47" s="210">
        <f t="shared" si="51"/>
        <v>0</v>
      </c>
      <c r="R47" s="210">
        <f t="shared" si="51"/>
        <v>0</v>
      </c>
      <c r="S47" s="210">
        <f t="shared" si="51"/>
        <v>0</v>
      </c>
      <c r="T47" s="210">
        <f t="shared" si="51"/>
        <v>0</v>
      </c>
      <c r="U47" s="210">
        <f t="shared" si="51"/>
        <v>0</v>
      </c>
      <c r="V47" s="210">
        <f t="shared" si="51"/>
        <v>0</v>
      </c>
      <c r="W47" s="210">
        <f t="shared" si="51"/>
        <v>0</v>
      </c>
      <c r="X47" s="210">
        <f t="shared" si="51"/>
        <v>0</v>
      </c>
      <c r="Y47" s="210">
        <f t="shared" si="51"/>
        <v>0</v>
      </c>
      <c r="Z47" s="210">
        <f t="shared" si="51"/>
        <v>0</v>
      </c>
      <c r="AA47" s="210">
        <f t="shared" si="51"/>
        <v>0</v>
      </c>
      <c r="AB47" s="210">
        <f t="shared" si="51"/>
        <v>0</v>
      </c>
      <c r="AC47" s="210">
        <f t="shared" si="51"/>
        <v>0</v>
      </c>
      <c r="AD47" s="210">
        <f t="shared" si="51"/>
        <v>0</v>
      </c>
      <c r="AE47" s="210">
        <f t="shared" si="51"/>
        <v>0</v>
      </c>
      <c r="AF47" s="210">
        <f t="shared" si="51"/>
        <v>0</v>
      </c>
      <c r="AG47" s="210">
        <f t="shared" si="51"/>
        <v>0</v>
      </c>
      <c r="AH47" s="210">
        <f t="shared" si="51"/>
        <v>0</v>
      </c>
      <c r="AI47" s="210">
        <f t="shared" si="51"/>
        <v>0</v>
      </c>
      <c r="AJ47" s="210">
        <f t="shared" si="51"/>
        <v>0</v>
      </c>
      <c r="AK47" s="210">
        <f t="shared" si="51"/>
        <v>0</v>
      </c>
      <c r="AL47" s="210">
        <f t="shared" ref="AL47:BQ47" si="52">IF(AL$22&lt;=$E$24,IF(AL$22&lt;=$D$24,IF(AL$22&lt;=$C$24,IF(AL$22&lt;=$B$24,$B113,($C30-$B30)/($C$24-$B$24)),($D30-$C30)/($D$24-$C$24)),($E30-$D30)/($E$24-$D$24)),$F113)</f>
        <v>0</v>
      </c>
      <c r="AM47" s="210">
        <f t="shared" si="52"/>
        <v>0</v>
      </c>
      <c r="AN47" s="210">
        <f t="shared" si="52"/>
        <v>0</v>
      </c>
      <c r="AO47" s="210">
        <f t="shared" si="52"/>
        <v>0</v>
      </c>
      <c r="AP47" s="210">
        <f t="shared" si="52"/>
        <v>0</v>
      </c>
      <c r="AQ47" s="210">
        <f t="shared" si="52"/>
        <v>0</v>
      </c>
      <c r="AR47" s="210">
        <f t="shared" si="52"/>
        <v>0</v>
      </c>
      <c r="AS47" s="210">
        <f t="shared" si="52"/>
        <v>0</v>
      </c>
      <c r="AT47" s="210">
        <f t="shared" si="52"/>
        <v>0</v>
      </c>
      <c r="AU47" s="210">
        <f t="shared" si="52"/>
        <v>0</v>
      </c>
      <c r="AV47" s="210">
        <f t="shared" si="52"/>
        <v>0</v>
      </c>
      <c r="AW47" s="210">
        <f t="shared" si="52"/>
        <v>0</v>
      </c>
      <c r="AX47" s="210">
        <f t="shared" si="52"/>
        <v>0</v>
      </c>
      <c r="AY47" s="210">
        <f t="shared" si="52"/>
        <v>0</v>
      </c>
      <c r="AZ47" s="210">
        <f t="shared" si="52"/>
        <v>0</v>
      </c>
      <c r="BA47" s="210">
        <f t="shared" si="52"/>
        <v>0</v>
      </c>
      <c r="BB47" s="210">
        <f t="shared" si="52"/>
        <v>0</v>
      </c>
      <c r="BC47" s="210">
        <f t="shared" si="52"/>
        <v>0</v>
      </c>
      <c r="BD47" s="210">
        <f t="shared" si="52"/>
        <v>0</v>
      </c>
      <c r="BE47" s="210">
        <f t="shared" si="52"/>
        <v>0</v>
      </c>
      <c r="BF47" s="210">
        <f t="shared" si="52"/>
        <v>0</v>
      </c>
      <c r="BG47" s="210">
        <f t="shared" si="52"/>
        <v>0</v>
      </c>
      <c r="BH47" s="210">
        <f t="shared" si="52"/>
        <v>0</v>
      </c>
      <c r="BI47" s="210">
        <f t="shared" si="52"/>
        <v>0</v>
      </c>
      <c r="BJ47" s="210">
        <f t="shared" si="52"/>
        <v>0</v>
      </c>
      <c r="BK47" s="210">
        <f t="shared" si="52"/>
        <v>0</v>
      </c>
      <c r="BL47" s="210">
        <f t="shared" si="52"/>
        <v>0</v>
      </c>
      <c r="BM47" s="210">
        <f t="shared" si="52"/>
        <v>0</v>
      </c>
      <c r="BN47" s="210">
        <f t="shared" si="52"/>
        <v>0</v>
      </c>
      <c r="BO47" s="210">
        <f t="shared" si="52"/>
        <v>0</v>
      </c>
      <c r="BP47" s="210">
        <f t="shared" si="52"/>
        <v>0</v>
      </c>
      <c r="BQ47" s="210">
        <f t="shared" si="52"/>
        <v>0</v>
      </c>
      <c r="BR47" s="210">
        <f t="shared" ref="BR47:DA47" si="53">IF(BR$22&lt;=$E$24,IF(BR$22&lt;=$D$24,IF(BR$22&lt;=$C$24,IF(BR$22&lt;=$B$24,$B113,($C30-$B30)/($C$24-$B$24)),($D30-$C30)/($D$24-$C$24)),($E30-$D30)/($E$24-$D$24)),$F113)</f>
        <v>0</v>
      </c>
      <c r="BS47" s="210">
        <f t="shared" si="53"/>
        <v>0</v>
      </c>
      <c r="BT47" s="210">
        <f t="shared" si="53"/>
        <v>0</v>
      </c>
      <c r="BU47" s="210">
        <f t="shared" si="53"/>
        <v>0</v>
      </c>
      <c r="BV47" s="210">
        <f t="shared" si="53"/>
        <v>0</v>
      </c>
      <c r="BW47" s="210">
        <f t="shared" si="53"/>
        <v>0</v>
      </c>
      <c r="BX47" s="210">
        <f t="shared" si="53"/>
        <v>0</v>
      </c>
      <c r="BY47" s="210">
        <f t="shared" si="53"/>
        <v>0</v>
      </c>
      <c r="BZ47" s="210">
        <f t="shared" si="53"/>
        <v>0</v>
      </c>
      <c r="CA47" s="210">
        <f t="shared" si="53"/>
        <v>0</v>
      </c>
      <c r="CB47" s="210">
        <f t="shared" si="53"/>
        <v>0</v>
      </c>
      <c r="CC47" s="210">
        <f t="shared" si="53"/>
        <v>0</v>
      </c>
      <c r="CD47" s="210">
        <f t="shared" si="53"/>
        <v>0</v>
      </c>
      <c r="CE47" s="210">
        <f t="shared" si="53"/>
        <v>0</v>
      </c>
      <c r="CF47" s="210">
        <f t="shared" si="53"/>
        <v>0</v>
      </c>
      <c r="CG47" s="210">
        <f t="shared" si="53"/>
        <v>0</v>
      </c>
      <c r="CH47" s="210">
        <f t="shared" si="53"/>
        <v>0</v>
      </c>
      <c r="CI47" s="210">
        <f t="shared" si="53"/>
        <v>0</v>
      </c>
      <c r="CJ47" s="210">
        <f t="shared" si="53"/>
        <v>0</v>
      </c>
      <c r="CK47" s="210">
        <f t="shared" si="53"/>
        <v>0</v>
      </c>
      <c r="CL47" s="210">
        <f t="shared" si="53"/>
        <v>0</v>
      </c>
      <c r="CM47" s="210">
        <f t="shared" si="53"/>
        <v>0</v>
      </c>
      <c r="CN47" s="210">
        <f t="shared" si="53"/>
        <v>0</v>
      </c>
      <c r="CO47" s="210">
        <f t="shared" si="53"/>
        <v>0</v>
      </c>
      <c r="CP47" s="210">
        <f t="shared" si="53"/>
        <v>0</v>
      </c>
      <c r="CQ47" s="210">
        <f t="shared" si="53"/>
        <v>0</v>
      </c>
      <c r="CR47" s="210">
        <f t="shared" si="53"/>
        <v>0</v>
      </c>
      <c r="CS47" s="210">
        <f t="shared" si="53"/>
        <v>0</v>
      </c>
      <c r="CT47" s="210">
        <f t="shared" si="53"/>
        <v>0</v>
      </c>
      <c r="CU47" s="210">
        <f t="shared" si="53"/>
        <v>0</v>
      </c>
      <c r="CV47" s="210">
        <f t="shared" si="53"/>
        <v>0</v>
      </c>
      <c r="CW47" s="210">
        <f t="shared" si="53"/>
        <v>0</v>
      </c>
      <c r="CX47" s="210">
        <f t="shared" si="53"/>
        <v>52.189999999999884</v>
      </c>
      <c r="CY47" s="210">
        <f t="shared" si="53"/>
        <v>52.189999999999884</v>
      </c>
      <c r="CZ47" s="210">
        <f t="shared" si="53"/>
        <v>52.189999999999884</v>
      </c>
      <c r="DA47" s="210">
        <f t="shared" si="53"/>
        <v>52.189999999999884</v>
      </c>
    </row>
    <row r="48" spans="1:105">
      <c r="A48" s="201" t="str">
        <f>Income!A78</f>
        <v>Labour - casual</v>
      </c>
      <c r="F48" s="210">
        <f t="shared" ref="F48:AK48" si="54">IF(F$22&lt;=$E$24,IF(F$22&lt;=$D$24,IF(F$22&lt;=$C$24,IF(F$22&lt;=$B$24,$B114,($C31-$B31)/($C$24-$B$24)),($D31-$C31)/($D$24-$C$24)),($E31-$D31)/($E$24-$D$24)),$F114)</f>
        <v>0</v>
      </c>
      <c r="G48" s="210">
        <f t="shared" si="54"/>
        <v>0</v>
      </c>
      <c r="H48" s="210">
        <f t="shared" si="54"/>
        <v>0</v>
      </c>
      <c r="I48" s="210">
        <f t="shared" si="54"/>
        <v>0</v>
      </c>
      <c r="J48" s="210">
        <f t="shared" si="54"/>
        <v>0</v>
      </c>
      <c r="K48" s="210">
        <f t="shared" si="54"/>
        <v>0</v>
      </c>
      <c r="L48" s="210">
        <f t="shared" si="54"/>
        <v>0</v>
      </c>
      <c r="M48" s="210">
        <f t="shared" si="54"/>
        <v>0</v>
      </c>
      <c r="N48" s="210">
        <f t="shared" si="54"/>
        <v>0</v>
      </c>
      <c r="O48" s="210">
        <f t="shared" si="54"/>
        <v>0</v>
      </c>
      <c r="P48" s="210">
        <f t="shared" si="54"/>
        <v>0</v>
      </c>
      <c r="Q48" s="210">
        <f t="shared" si="54"/>
        <v>0</v>
      </c>
      <c r="R48" s="210">
        <f t="shared" si="54"/>
        <v>0</v>
      </c>
      <c r="S48" s="210">
        <f t="shared" si="54"/>
        <v>0</v>
      </c>
      <c r="T48" s="210">
        <f t="shared" si="54"/>
        <v>0</v>
      </c>
      <c r="U48" s="210">
        <f t="shared" si="54"/>
        <v>0</v>
      </c>
      <c r="V48" s="210">
        <f t="shared" si="54"/>
        <v>0</v>
      </c>
      <c r="W48" s="210">
        <f t="shared" si="54"/>
        <v>0</v>
      </c>
      <c r="X48" s="210">
        <f t="shared" si="54"/>
        <v>0</v>
      </c>
      <c r="Y48" s="210">
        <f t="shared" si="54"/>
        <v>0</v>
      </c>
      <c r="Z48" s="210">
        <f t="shared" si="54"/>
        <v>0</v>
      </c>
      <c r="AA48" s="210">
        <f t="shared" si="54"/>
        <v>0</v>
      </c>
      <c r="AB48" s="210">
        <f t="shared" si="54"/>
        <v>0</v>
      </c>
      <c r="AC48" s="210">
        <f t="shared" si="54"/>
        <v>0</v>
      </c>
      <c r="AD48" s="210">
        <f t="shared" si="54"/>
        <v>0</v>
      </c>
      <c r="AE48" s="210">
        <f t="shared" si="54"/>
        <v>0</v>
      </c>
      <c r="AF48" s="210">
        <f t="shared" si="54"/>
        <v>-98.402089209587601</v>
      </c>
      <c r="AG48" s="210">
        <f t="shared" si="54"/>
        <v>-98.402089209587601</v>
      </c>
      <c r="AH48" s="210">
        <f t="shared" si="54"/>
        <v>-98.402089209587601</v>
      </c>
      <c r="AI48" s="210">
        <f t="shared" si="54"/>
        <v>-98.402089209587601</v>
      </c>
      <c r="AJ48" s="210">
        <f t="shared" si="54"/>
        <v>-98.402089209587601</v>
      </c>
      <c r="AK48" s="210">
        <f t="shared" si="54"/>
        <v>-98.402089209587601</v>
      </c>
      <c r="AL48" s="210">
        <f t="shared" ref="AL48:BQ48" si="55">IF(AL$22&lt;=$E$24,IF(AL$22&lt;=$D$24,IF(AL$22&lt;=$C$24,IF(AL$22&lt;=$B$24,$B114,($C31-$B31)/($C$24-$B$24)),($D31-$C31)/($D$24-$C$24)),($E31-$D31)/($E$24-$D$24)),$F114)</f>
        <v>-98.402089209587601</v>
      </c>
      <c r="AM48" s="210">
        <f t="shared" si="55"/>
        <v>-98.402089209587601</v>
      </c>
      <c r="AN48" s="210">
        <f t="shared" si="55"/>
        <v>-98.402089209587601</v>
      </c>
      <c r="AO48" s="210">
        <f t="shared" si="55"/>
        <v>-98.402089209587601</v>
      </c>
      <c r="AP48" s="210">
        <f t="shared" si="55"/>
        <v>-98.402089209587601</v>
      </c>
      <c r="AQ48" s="210">
        <f t="shared" si="55"/>
        <v>-98.402089209587601</v>
      </c>
      <c r="AR48" s="210">
        <f t="shared" si="55"/>
        <v>-98.402089209587601</v>
      </c>
      <c r="AS48" s="210">
        <f t="shared" si="55"/>
        <v>-98.402089209587601</v>
      </c>
      <c r="AT48" s="210">
        <f t="shared" si="55"/>
        <v>-98.402089209587601</v>
      </c>
      <c r="AU48" s="210">
        <f t="shared" si="55"/>
        <v>-98.402089209587601</v>
      </c>
      <c r="AV48" s="210">
        <f t="shared" si="55"/>
        <v>-98.402089209587601</v>
      </c>
      <c r="AW48" s="210">
        <f t="shared" si="55"/>
        <v>-98.402089209587601</v>
      </c>
      <c r="AX48" s="210">
        <f t="shared" si="55"/>
        <v>-98.402089209587601</v>
      </c>
      <c r="AY48" s="210">
        <f t="shared" si="55"/>
        <v>-98.402089209587601</v>
      </c>
      <c r="AZ48" s="210">
        <f t="shared" si="55"/>
        <v>-98.402089209587601</v>
      </c>
      <c r="BA48" s="210">
        <f t="shared" si="55"/>
        <v>-98.402089209587601</v>
      </c>
      <c r="BB48" s="210">
        <f t="shared" si="55"/>
        <v>-98.402089209587601</v>
      </c>
      <c r="BC48" s="210">
        <f t="shared" si="55"/>
        <v>-98.402089209587601</v>
      </c>
      <c r="BD48" s="210">
        <f t="shared" si="55"/>
        <v>-98.402089209587601</v>
      </c>
      <c r="BE48" s="210">
        <f t="shared" si="55"/>
        <v>-98.402089209587601</v>
      </c>
      <c r="BF48" s="210">
        <f t="shared" si="55"/>
        <v>-98.402089209587601</v>
      </c>
      <c r="BG48" s="210">
        <f t="shared" si="55"/>
        <v>-98.402089209587601</v>
      </c>
      <c r="BH48" s="210">
        <f t="shared" si="55"/>
        <v>-98.402089209587601</v>
      </c>
      <c r="BI48" s="210">
        <f t="shared" si="55"/>
        <v>-98.402089209587601</v>
      </c>
      <c r="BJ48" s="210">
        <f t="shared" si="55"/>
        <v>-98.402089209587601</v>
      </c>
      <c r="BK48" s="210">
        <f t="shared" si="55"/>
        <v>-98.402089209587601</v>
      </c>
      <c r="BL48" s="210">
        <f t="shared" si="55"/>
        <v>-98.402089209587601</v>
      </c>
      <c r="BM48" s="210">
        <f t="shared" si="55"/>
        <v>-98.402089209587601</v>
      </c>
      <c r="BN48" s="210">
        <f t="shared" si="55"/>
        <v>-98.402089209587601</v>
      </c>
      <c r="BO48" s="210">
        <f t="shared" si="55"/>
        <v>-98.402089209587601</v>
      </c>
      <c r="BP48" s="210">
        <f t="shared" si="55"/>
        <v>-98.402089209587601</v>
      </c>
      <c r="BQ48" s="210">
        <f t="shared" si="55"/>
        <v>1269.3186160195069</v>
      </c>
      <c r="BR48" s="210">
        <f t="shared" ref="BR48:DA48" si="56">IF(BR$22&lt;=$E$24,IF(BR$22&lt;=$D$24,IF(BR$22&lt;=$C$24,IF(BR$22&lt;=$B$24,$B114,($C31-$B31)/($C$24-$B$24)),($D31-$C31)/($D$24-$C$24)),($E31-$D31)/($E$24-$D$24)),$F114)</f>
        <v>1269.3186160195069</v>
      </c>
      <c r="BS48" s="210">
        <f t="shared" si="56"/>
        <v>1269.3186160195069</v>
      </c>
      <c r="BT48" s="210">
        <f t="shared" si="56"/>
        <v>1269.3186160195069</v>
      </c>
      <c r="BU48" s="210">
        <f t="shared" si="56"/>
        <v>1269.3186160195069</v>
      </c>
      <c r="BV48" s="210">
        <f t="shared" si="56"/>
        <v>1269.3186160195069</v>
      </c>
      <c r="BW48" s="210">
        <f t="shared" si="56"/>
        <v>1269.3186160195069</v>
      </c>
      <c r="BX48" s="210">
        <f t="shared" si="56"/>
        <v>1269.3186160195069</v>
      </c>
      <c r="BY48" s="210">
        <f t="shared" si="56"/>
        <v>1269.3186160195069</v>
      </c>
      <c r="BZ48" s="210">
        <f t="shared" si="56"/>
        <v>1269.3186160195069</v>
      </c>
      <c r="CA48" s="210">
        <f t="shared" si="56"/>
        <v>1269.3186160195069</v>
      </c>
      <c r="CB48" s="210">
        <f t="shared" si="56"/>
        <v>1269.3186160195069</v>
      </c>
      <c r="CC48" s="210">
        <f t="shared" si="56"/>
        <v>1269.3186160195069</v>
      </c>
      <c r="CD48" s="210">
        <f t="shared" si="56"/>
        <v>1269.3186160195069</v>
      </c>
      <c r="CE48" s="210">
        <f t="shared" si="56"/>
        <v>1269.3186160195069</v>
      </c>
      <c r="CF48" s="210">
        <f t="shared" si="56"/>
        <v>1269.3186160195069</v>
      </c>
      <c r="CG48" s="210">
        <f t="shared" si="56"/>
        <v>1269.3186160195069</v>
      </c>
      <c r="CH48" s="210">
        <f t="shared" si="56"/>
        <v>1269.3186160195069</v>
      </c>
      <c r="CI48" s="210">
        <f t="shared" si="56"/>
        <v>1269.3186160195069</v>
      </c>
      <c r="CJ48" s="210">
        <f t="shared" si="56"/>
        <v>1269.3186160195069</v>
      </c>
      <c r="CK48" s="210">
        <f t="shared" si="56"/>
        <v>-2624.0557122556697</v>
      </c>
      <c r="CL48" s="210">
        <f t="shared" si="56"/>
        <v>-2624.0557122556697</v>
      </c>
      <c r="CM48" s="210">
        <f t="shared" si="56"/>
        <v>-2624.0557122556697</v>
      </c>
      <c r="CN48" s="210">
        <f t="shared" si="56"/>
        <v>-2624.0557122556697</v>
      </c>
      <c r="CO48" s="210">
        <f t="shared" si="56"/>
        <v>-2624.0557122556697</v>
      </c>
      <c r="CP48" s="210">
        <f t="shared" si="56"/>
        <v>-2624.0557122556697</v>
      </c>
      <c r="CQ48" s="210">
        <f t="shared" si="56"/>
        <v>-2624.0557122556697</v>
      </c>
      <c r="CR48" s="210">
        <f t="shared" si="56"/>
        <v>-2624.0557122556697</v>
      </c>
      <c r="CS48" s="210">
        <f t="shared" si="56"/>
        <v>-2624.0557122556697</v>
      </c>
      <c r="CT48" s="210">
        <f t="shared" si="56"/>
        <v>-2624.0557122556697</v>
      </c>
      <c r="CU48" s="210">
        <f t="shared" si="56"/>
        <v>-2624.0557122556697</v>
      </c>
      <c r="CV48" s="210">
        <f t="shared" si="56"/>
        <v>-2624.0557122556697</v>
      </c>
      <c r="CW48" s="210">
        <f t="shared" si="56"/>
        <v>-2624.0557122556697</v>
      </c>
      <c r="CX48" s="210">
        <f t="shared" si="56"/>
        <v>0</v>
      </c>
      <c r="CY48" s="210">
        <f t="shared" si="56"/>
        <v>0</v>
      </c>
      <c r="CZ48" s="210">
        <f t="shared" si="56"/>
        <v>0</v>
      </c>
      <c r="DA48" s="210">
        <f t="shared" si="56"/>
        <v>0</v>
      </c>
    </row>
    <row r="49" spans="1:105">
      <c r="A49" s="201" t="str">
        <f>Income!A79</f>
        <v>Labour - formal emp</v>
      </c>
      <c r="F49" s="210">
        <f t="shared" ref="F49:AK49" si="57">IF(F$22&lt;=$E$24,IF(F$22&lt;=$D$24,IF(F$22&lt;=$C$24,IF(F$22&lt;=$B$24,$B115,($C32-$B32)/($C$24-$B$24)),($D32-$C32)/($D$24-$C$24)),($E32-$D32)/($E$24-$D$24)),$F115)</f>
        <v>0</v>
      </c>
      <c r="G49" s="210">
        <f t="shared" si="57"/>
        <v>0</v>
      </c>
      <c r="H49" s="210">
        <f t="shared" si="57"/>
        <v>0</v>
      </c>
      <c r="I49" s="210">
        <f t="shared" si="57"/>
        <v>0</v>
      </c>
      <c r="J49" s="210">
        <f t="shared" si="57"/>
        <v>0</v>
      </c>
      <c r="K49" s="210">
        <f t="shared" si="57"/>
        <v>0</v>
      </c>
      <c r="L49" s="210">
        <f t="shared" si="57"/>
        <v>0</v>
      </c>
      <c r="M49" s="210">
        <f t="shared" si="57"/>
        <v>0</v>
      </c>
      <c r="N49" s="210">
        <f t="shared" si="57"/>
        <v>0</v>
      </c>
      <c r="O49" s="210">
        <f t="shared" si="57"/>
        <v>0</v>
      </c>
      <c r="P49" s="210">
        <f t="shared" si="57"/>
        <v>0</v>
      </c>
      <c r="Q49" s="210">
        <f t="shared" si="57"/>
        <v>0</v>
      </c>
      <c r="R49" s="210">
        <f t="shared" si="57"/>
        <v>0</v>
      </c>
      <c r="S49" s="210">
        <f t="shared" si="57"/>
        <v>0</v>
      </c>
      <c r="T49" s="210">
        <f t="shared" si="57"/>
        <v>0</v>
      </c>
      <c r="U49" s="210">
        <f t="shared" si="57"/>
        <v>0</v>
      </c>
      <c r="V49" s="210">
        <f t="shared" si="57"/>
        <v>0</v>
      </c>
      <c r="W49" s="210">
        <f t="shared" si="57"/>
        <v>0</v>
      </c>
      <c r="X49" s="210">
        <f t="shared" si="57"/>
        <v>0</v>
      </c>
      <c r="Y49" s="210">
        <f t="shared" si="57"/>
        <v>0</v>
      </c>
      <c r="Z49" s="210">
        <f t="shared" si="57"/>
        <v>0</v>
      </c>
      <c r="AA49" s="210">
        <f t="shared" si="57"/>
        <v>0</v>
      </c>
      <c r="AB49" s="210">
        <f t="shared" si="57"/>
        <v>0</v>
      </c>
      <c r="AC49" s="210">
        <f t="shared" si="57"/>
        <v>0</v>
      </c>
      <c r="AD49" s="210">
        <f t="shared" si="57"/>
        <v>0</v>
      </c>
      <c r="AE49" s="210">
        <f t="shared" si="57"/>
        <v>0</v>
      </c>
      <c r="AF49" s="210">
        <f t="shared" si="57"/>
        <v>0</v>
      </c>
      <c r="AG49" s="210">
        <f t="shared" si="57"/>
        <v>0</v>
      </c>
      <c r="AH49" s="210">
        <f t="shared" si="57"/>
        <v>0</v>
      </c>
      <c r="AI49" s="210">
        <f t="shared" si="57"/>
        <v>0</v>
      </c>
      <c r="AJ49" s="210">
        <f t="shared" si="57"/>
        <v>0</v>
      </c>
      <c r="AK49" s="210">
        <f t="shared" si="57"/>
        <v>0</v>
      </c>
      <c r="AL49" s="210">
        <f t="shared" ref="AL49:BQ49" si="58">IF(AL$22&lt;=$E$24,IF(AL$22&lt;=$D$24,IF(AL$22&lt;=$C$24,IF(AL$22&lt;=$B$24,$B115,($C32-$B32)/($C$24-$B$24)),($D32-$C32)/($D$24-$C$24)),($E32-$D32)/($E$24-$D$24)),$F115)</f>
        <v>0</v>
      </c>
      <c r="AM49" s="210">
        <f t="shared" si="58"/>
        <v>0</v>
      </c>
      <c r="AN49" s="210">
        <f t="shared" si="58"/>
        <v>0</v>
      </c>
      <c r="AO49" s="210">
        <f t="shared" si="58"/>
        <v>0</v>
      </c>
      <c r="AP49" s="210">
        <f t="shared" si="58"/>
        <v>0</v>
      </c>
      <c r="AQ49" s="210">
        <f t="shared" si="58"/>
        <v>0</v>
      </c>
      <c r="AR49" s="210">
        <f t="shared" si="58"/>
        <v>0</v>
      </c>
      <c r="AS49" s="210">
        <f t="shared" si="58"/>
        <v>0</v>
      </c>
      <c r="AT49" s="210">
        <f t="shared" si="58"/>
        <v>0</v>
      </c>
      <c r="AU49" s="210">
        <f t="shared" si="58"/>
        <v>0</v>
      </c>
      <c r="AV49" s="210">
        <f t="shared" si="58"/>
        <v>0</v>
      </c>
      <c r="AW49" s="210">
        <f t="shared" si="58"/>
        <v>0</v>
      </c>
      <c r="AX49" s="210">
        <f t="shared" si="58"/>
        <v>0</v>
      </c>
      <c r="AY49" s="210">
        <f t="shared" si="58"/>
        <v>0</v>
      </c>
      <c r="AZ49" s="210">
        <f t="shared" si="58"/>
        <v>0</v>
      </c>
      <c r="BA49" s="210">
        <f t="shared" si="58"/>
        <v>0</v>
      </c>
      <c r="BB49" s="210">
        <f t="shared" si="58"/>
        <v>0</v>
      </c>
      <c r="BC49" s="210">
        <f t="shared" si="58"/>
        <v>0</v>
      </c>
      <c r="BD49" s="210">
        <f t="shared" si="58"/>
        <v>0</v>
      </c>
      <c r="BE49" s="210">
        <f t="shared" si="58"/>
        <v>0</v>
      </c>
      <c r="BF49" s="210">
        <f t="shared" si="58"/>
        <v>0</v>
      </c>
      <c r="BG49" s="210">
        <f t="shared" si="58"/>
        <v>0</v>
      </c>
      <c r="BH49" s="210">
        <f t="shared" si="58"/>
        <v>0</v>
      </c>
      <c r="BI49" s="210">
        <f t="shared" si="58"/>
        <v>0</v>
      </c>
      <c r="BJ49" s="210">
        <f t="shared" si="58"/>
        <v>0</v>
      </c>
      <c r="BK49" s="210">
        <f t="shared" si="58"/>
        <v>0</v>
      </c>
      <c r="BL49" s="210">
        <f t="shared" si="58"/>
        <v>0</v>
      </c>
      <c r="BM49" s="210">
        <f t="shared" si="58"/>
        <v>0</v>
      </c>
      <c r="BN49" s="210">
        <f t="shared" si="58"/>
        <v>0</v>
      </c>
      <c r="BO49" s="210">
        <f t="shared" si="58"/>
        <v>0</v>
      </c>
      <c r="BP49" s="210">
        <f t="shared" si="58"/>
        <v>0</v>
      </c>
      <c r="BQ49" s="210">
        <f t="shared" si="58"/>
        <v>0</v>
      </c>
      <c r="BR49" s="210">
        <f t="shared" ref="BR49:DA49" si="59">IF(BR$22&lt;=$E$24,IF(BR$22&lt;=$D$24,IF(BR$22&lt;=$C$24,IF(BR$22&lt;=$B$24,$B115,($C32-$B32)/($C$24-$B$24)),($D32-$C32)/($D$24-$C$24)),($E32-$D32)/($E$24-$D$24)),$F115)</f>
        <v>0</v>
      </c>
      <c r="BS49" s="210">
        <f t="shared" si="59"/>
        <v>0</v>
      </c>
      <c r="BT49" s="210">
        <f t="shared" si="59"/>
        <v>0</v>
      </c>
      <c r="BU49" s="210">
        <f t="shared" si="59"/>
        <v>0</v>
      </c>
      <c r="BV49" s="210">
        <f t="shared" si="59"/>
        <v>0</v>
      </c>
      <c r="BW49" s="210">
        <f t="shared" si="59"/>
        <v>0</v>
      </c>
      <c r="BX49" s="210">
        <f t="shared" si="59"/>
        <v>0</v>
      </c>
      <c r="BY49" s="210">
        <f t="shared" si="59"/>
        <v>0</v>
      </c>
      <c r="BZ49" s="210">
        <f t="shared" si="59"/>
        <v>0</v>
      </c>
      <c r="CA49" s="210">
        <f t="shared" si="59"/>
        <v>0</v>
      </c>
      <c r="CB49" s="210">
        <f t="shared" si="59"/>
        <v>0</v>
      </c>
      <c r="CC49" s="210">
        <f t="shared" si="59"/>
        <v>0</v>
      </c>
      <c r="CD49" s="210">
        <f t="shared" si="59"/>
        <v>0</v>
      </c>
      <c r="CE49" s="210">
        <f t="shared" si="59"/>
        <v>0</v>
      </c>
      <c r="CF49" s="210">
        <f t="shared" si="59"/>
        <v>0</v>
      </c>
      <c r="CG49" s="210">
        <f t="shared" si="59"/>
        <v>0</v>
      </c>
      <c r="CH49" s="210">
        <f t="shared" si="59"/>
        <v>0</v>
      </c>
      <c r="CI49" s="210">
        <f t="shared" si="59"/>
        <v>0</v>
      </c>
      <c r="CJ49" s="210">
        <f t="shared" si="59"/>
        <v>0</v>
      </c>
      <c r="CK49" s="210">
        <f t="shared" si="59"/>
        <v>9040.6919461308626</v>
      </c>
      <c r="CL49" s="210">
        <f t="shared" si="59"/>
        <v>9040.6919461308626</v>
      </c>
      <c r="CM49" s="210">
        <f t="shared" si="59"/>
        <v>9040.6919461308626</v>
      </c>
      <c r="CN49" s="210">
        <f t="shared" si="59"/>
        <v>9040.6919461308626</v>
      </c>
      <c r="CO49" s="210">
        <f t="shared" si="59"/>
        <v>9040.6919461308626</v>
      </c>
      <c r="CP49" s="210">
        <f t="shared" si="59"/>
        <v>9040.6919461308626</v>
      </c>
      <c r="CQ49" s="210">
        <f t="shared" si="59"/>
        <v>9040.6919461308626</v>
      </c>
      <c r="CR49" s="210">
        <f t="shared" si="59"/>
        <v>9040.6919461308626</v>
      </c>
      <c r="CS49" s="210">
        <f t="shared" si="59"/>
        <v>9040.6919461308626</v>
      </c>
      <c r="CT49" s="210">
        <f t="shared" si="59"/>
        <v>9040.6919461308626</v>
      </c>
      <c r="CU49" s="210">
        <f t="shared" si="59"/>
        <v>9040.6919461308626</v>
      </c>
      <c r="CV49" s="210">
        <f t="shared" si="59"/>
        <v>9040.6919461308626</v>
      </c>
      <c r="CW49" s="210">
        <f t="shared" si="59"/>
        <v>9040.6919461308626</v>
      </c>
      <c r="CX49" s="210">
        <f t="shared" si="59"/>
        <v>2671.7</v>
      </c>
      <c r="CY49" s="210">
        <f t="shared" si="59"/>
        <v>2671.7</v>
      </c>
      <c r="CZ49" s="210">
        <f t="shared" si="59"/>
        <v>2671.7</v>
      </c>
      <c r="DA49" s="210">
        <f t="shared" si="59"/>
        <v>2671.7</v>
      </c>
    </row>
    <row r="50" spans="1:105">
      <c r="A50" s="201" t="str">
        <f>Income!A81</f>
        <v>Self - employment</v>
      </c>
      <c r="F50" s="210">
        <f t="shared" ref="F50:AK50" si="60">IF(F$22&lt;=$E$24,IF(F$22&lt;=$D$24,IF(F$22&lt;=$C$24,IF(F$22&lt;=$B$24,$B116,($C33-$B33)/($C$24-$B$24)),($D33-$C33)/($D$24-$C$24)),($E33-$D33)/($E$24-$D$24)),$F116)</f>
        <v>0</v>
      </c>
      <c r="G50" s="210">
        <f t="shared" si="60"/>
        <v>0</v>
      </c>
      <c r="H50" s="210">
        <f t="shared" si="60"/>
        <v>0</v>
      </c>
      <c r="I50" s="210">
        <f t="shared" si="60"/>
        <v>0</v>
      </c>
      <c r="J50" s="210">
        <f t="shared" si="60"/>
        <v>0</v>
      </c>
      <c r="K50" s="210">
        <f t="shared" si="60"/>
        <v>0</v>
      </c>
      <c r="L50" s="210">
        <f t="shared" si="60"/>
        <v>0</v>
      </c>
      <c r="M50" s="210">
        <f t="shared" si="60"/>
        <v>0</v>
      </c>
      <c r="N50" s="210">
        <f t="shared" si="60"/>
        <v>0</v>
      </c>
      <c r="O50" s="210">
        <f t="shared" si="60"/>
        <v>0</v>
      </c>
      <c r="P50" s="210">
        <f t="shared" si="60"/>
        <v>0</v>
      </c>
      <c r="Q50" s="210">
        <f t="shared" si="60"/>
        <v>0</v>
      </c>
      <c r="R50" s="210">
        <f t="shared" si="60"/>
        <v>0</v>
      </c>
      <c r="S50" s="210">
        <f t="shared" si="60"/>
        <v>0</v>
      </c>
      <c r="T50" s="210">
        <f t="shared" si="60"/>
        <v>0</v>
      </c>
      <c r="U50" s="210">
        <f t="shared" si="60"/>
        <v>0</v>
      </c>
      <c r="V50" s="210">
        <f t="shared" si="60"/>
        <v>0</v>
      </c>
      <c r="W50" s="210">
        <f t="shared" si="60"/>
        <v>0</v>
      </c>
      <c r="X50" s="210">
        <f t="shared" si="60"/>
        <v>0</v>
      </c>
      <c r="Y50" s="210">
        <f t="shared" si="60"/>
        <v>0</v>
      </c>
      <c r="Z50" s="210">
        <f t="shared" si="60"/>
        <v>0</v>
      </c>
      <c r="AA50" s="210">
        <f t="shared" si="60"/>
        <v>0</v>
      </c>
      <c r="AB50" s="210">
        <f t="shared" si="60"/>
        <v>0</v>
      </c>
      <c r="AC50" s="210">
        <f t="shared" si="60"/>
        <v>0</v>
      </c>
      <c r="AD50" s="210">
        <f t="shared" si="60"/>
        <v>0</v>
      </c>
      <c r="AE50" s="210">
        <f t="shared" si="60"/>
        <v>0</v>
      </c>
      <c r="AF50" s="210">
        <f t="shared" si="60"/>
        <v>0</v>
      </c>
      <c r="AG50" s="210">
        <f t="shared" si="60"/>
        <v>0</v>
      </c>
      <c r="AH50" s="210">
        <f t="shared" si="60"/>
        <v>0</v>
      </c>
      <c r="AI50" s="210">
        <f t="shared" si="60"/>
        <v>0</v>
      </c>
      <c r="AJ50" s="210">
        <f t="shared" si="60"/>
        <v>0</v>
      </c>
      <c r="AK50" s="210">
        <f t="shared" si="60"/>
        <v>0</v>
      </c>
      <c r="AL50" s="210">
        <f t="shared" ref="AL50:BQ50" si="61">IF(AL$22&lt;=$E$24,IF(AL$22&lt;=$D$24,IF(AL$22&lt;=$C$24,IF(AL$22&lt;=$B$24,$B116,($C33-$B33)/($C$24-$B$24)),($D33-$C33)/($D$24-$C$24)),($E33-$D33)/($E$24-$D$24)),$F116)</f>
        <v>0</v>
      </c>
      <c r="AM50" s="210">
        <f t="shared" si="61"/>
        <v>0</v>
      </c>
      <c r="AN50" s="210">
        <f t="shared" si="61"/>
        <v>0</v>
      </c>
      <c r="AO50" s="210">
        <f t="shared" si="61"/>
        <v>0</v>
      </c>
      <c r="AP50" s="210">
        <f t="shared" si="61"/>
        <v>0</v>
      </c>
      <c r="AQ50" s="210">
        <f t="shared" si="61"/>
        <v>0</v>
      </c>
      <c r="AR50" s="210">
        <f t="shared" si="61"/>
        <v>0</v>
      </c>
      <c r="AS50" s="210">
        <f t="shared" si="61"/>
        <v>0</v>
      </c>
      <c r="AT50" s="210">
        <f t="shared" si="61"/>
        <v>0</v>
      </c>
      <c r="AU50" s="210">
        <f t="shared" si="61"/>
        <v>0</v>
      </c>
      <c r="AV50" s="210">
        <f t="shared" si="61"/>
        <v>0</v>
      </c>
      <c r="AW50" s="210">
        <f t="shared" si="61"/>
        <v>0</v>
      </c>
      <c r="AX50" s="210">
        <f t="shared" si="61"/>
        <v>0</v>
      </c>
      <c r="AY50" s="210">
        <f t="shared" si="61"/>
        <v>0</v>
      </c>
      <c r="AZ50" s="210">
        <f t="shared" si="61"/>
        <v>0</v>
      </c>
      <c r="BA50" s="210">
        <f t="shared" si="61"/>
        <v>0</v>
      </c>
      <c r="BB50" s="210">
        <f t="shared" si="61"/>
        <v>0</v>
      </c>
      <c r="BC50" s="210">
        <f t="shared" si="61"/>
        <v>0</v>
      </c>
      <c r="BD50" s="210">
        <f t="shared" si="61"/>
        <v>0</v>
      </c>
      <c r="BE50" s="210">
        <f t="shared" si="61"/>
        <v>0</v>
      </c>
      <c r="BF50" s="210">
        <f t="shared" si="61"/>
        <v>0</v>
      </c>
      <c r="BG50" s="210">
        <f t="shared" si="61"/>
        <v>0</v>
      </c>
      <c r="BH50" s="210">
        <f t="shared" si="61"/>
        <v>0</v>
      </c>
      <c r="BI50" s="210">
        <f t="shared" si="61"/>
        <v>0</v>
      </c>
      <c r="BJ50" s="210">
        <f t="shared" si="61"/>
        <v>0</v>
      </c>
      <c r="BK50" s="210">
        <f t="shared" si="61"/>
        <v>0</v>
      </c>
      <c r="BL50" s="210">
        <f t="shared" si="61"/>
        <v>0</v>
      </c>
      <c r="BM50" s="210">
        <f t="shared" si="61"/>
        <v>0</v>
      </c>
      <c r="BN50" s="210">
        <f t="shared" si="61"/>
        <v>0</v>
      </c>
      <c r="BO50" s="210">
        <f t="shared" si="61"/>
        <v>0</v>
      </c>
      <c r="BP50" s="210">
        <f t="shared" si="61"/>
        <v>0</v>
      </c>
      <c r="BQ50" s="210">
        <f t="shared" si="61"/>
        <v>0</v>
      </c>
      <c r="BR50" s="210">
        <f t="shared" ref="BR50:DA50" si="62">IF(BR$22&lt;=$E$24,IF(BR$22&lt;=$D$24,IF(BR$22&lt;=$C$24,IF(BR$22&lt;=$B$24,$B116,($C33-$B33)/($C$24-$B$24)),($D33-$C33)/($D$24-$C$24)),($E33-$D33)/($E$24-$D$24)),$F116)</f>
        <v>0</v>
      </c>
      <c r="BS50" s="210">
        <f t="shared" si="62"/>
        <v>0</v>
      </c>
      <c r="BT50" s="210">
        <f t="shared" si="62"/>
        <v>0</v>
      </c>
      <c r="BU50" s="210">
        <f t="shared" si="62"/>
        <v>0</v>
      </c>
      <c r="BV50" s="210">
        <f t="shared" si="62"/>
        <v>0</v>
      </c>
      <c r="BW50" s="210">
        <f t="shared" si="62"/>
        <v>0</v>
      </c>
      <c r="BX50" s="210">
        <f t="shared" si="62"/>
        <v>0</v>
      </c>
      <c r="BY50" s="210">
        <f t="shared" si="62"/>
        <v>0</v>
      </c>
      <c r="BZ50" s="210">
        <f t="shared" si="62"/>
        <v>0</v>
      </c>
      <c r="CA50" s="210">
        <f t="shared" si="62"/>
        <v>0</v>
      </c>
      <c r="CB50" s="210">
        <f t="shared" si="62"/>
        <v>0</v>
      </c>
      <c r="CC50" s="210">
        <f t="shared" si="62"/>
        <v>0</v>
      </c>
      <c r="CD50" s="210">
        <f t="shared" si="62"/>
        <v>0</v>
      </c>
      <c r="CE50" s="210">
        <f t="shared" si="62"/>
        <v>0</v>
      </c>
      <c r="CF50" s="210">
        <f t="shared" si="62"/>
        <v>0</v>
      </c>
      <c r="CG50" s="210">
        <f t="shared" si="62"/>
        <v>0</v>
      </c>
      <c r="CH50" s="210">
        <f t="shared" si="62"/>
        <v>0</v>
      </c>
      <c r="CI50" s="210">
        <f t="shared" si="62"/>
        <v>0</v>
      </c>
      <c r="CJ50" s="210">
        <f t="shared" si="62"/>
        <v>0</v>
      </c>
      <c r="CK50" s="210">
        <f t="shared" si="62"/>
        <v>0</v>
      </c>
      <c r="CL50" s="210">
        <f t="shared" si="62"/>
        <v>0</v>
      </c>
      <c r="CM50" s="210">
        <f t="shared" si="62"/>
        <v>0</v>
      </c>
      <c r="CN50" s="210">
        <f t="shared" si="62"/>
        <v>0</v>
      </c>
      <c r="CO50" s="210">
        <f t="shared" si="62"/>
        <v>0</v>
      </c>
      <c r="CP50" s="210">
        <f t="shared" si="62"/>
        <v>0</v>
      </c>
      <c r="CQ50" s="210">
        <f t="shared" si="62"/>
        <v>0</v>
      </c>
      <c r="CR50" s="210">
        <f t="shared" si="62"/>
        <v>0</v>
      </c>
      <c r="CS50" s="210">
        <f t="shared" si="62"/>
        <v>0</v>
      </c>
      <c r="CT50" s="210">
        <f t="shared" si="62"/>
        <v>0</v>
      </c>
      <c r="CU50" s="210">
        <f t="shared" si="62"/>
        <v>0</v>
      </c>
      <c r="CV50" s="210">
        <f t="shared" si="62"/>
        <v>0</v>
      </c>
      <c r="CW50" s="210">
        <f t="shared" si="62"/>
        <v>0</v>
      </c>
      <c r="CX50" s="210">
        <f t="shared" si="62"/>
        <v>829.53</v>
      </c>
      <c r="CY50" s="210">
        <f t="shared" si="62"/>
        <v>829.53</v>
      </c>
      <c r="CZ50" s="210">
        <f t="shared" si="62"/>
        <v>829.53</v>
      </c>
      <c r="DA50" s="210">
        <f t="shared" si="62"/>
        <v>829.53</v>
      </c>
    </row>
    <row r="51" spans="1:105">
      <c r="A51" s="201" t="str">
        <f>Income!A82</f>
        <v>Small business/petty trading</v>
      </c>
      <c r="F51" s="210">
        <f t="shared" ref="F51:AK51" si="63">IF(F$22&lt;=$E$24,IF(F$22&lt;=$D$24,IF(F$22&lt;=$C$24,IF(F$22&lt;=$B$24,$B117,($C34-$B34)/($C$24-$B$24)),($D34-$C34)/($D$24-$C$24)),($E34-$D34)/($E$24-$D$24)),$F117)</f>
        <v>0</v>
      </c>
      <c r="G51" s="210">
        <f t="shared" si="63"/>
        <v>0</v>
      </c>
      <c r="H51" s="210">
        <f t="shared" si="63"/>
        <v>0</v>
      </c>
      <c r="I51" s="210">
        <f t="shared" si="63"/>
        <v>0</v>
      </c>
      <c r="J51" s="210">
        <f t="shared" si="63"/>
        <v>0</v>
      </c>
      <c r="K51" s="210">
        <f t="shared" si="63"/>
        <v>0</v>
      </c>
      <c r="L51" s="210">
        <f t="shared" si="63"/>
        <v>0</v>
      </c>
      <c r="M51" s="210">
        <f t="shared" si="63"/>
        <v>0</v>
      </c>
      <c r="N51" s="210">
        <f t="shared" si="63"/>
        <v>0</v>
      </c>
      <c r="O51" s="210">
        <f t="shared" si="63"/>
        <v>0</v>
      </c>
      <c r="P51" s="210">
        <f t="shared" si="63"/>
        <v>0</v>
      </c>
      <c r="Q51" s="210">
        <f t="shared" si="63"/>
        <v>0</v>
      </c>
      <c r="R51" s="210">
        <f t="shared" si="63"/>
        <v>0</v>
      </c>
      <c r="S51" s="210">
        <f t="shared" si="63"/>
        <v>0</v>
      </c>
      <c r="T51" s="210">
        <f t="shared" si="63"/>
        <v>0</v>
      </c>
      <c r="U51" s="210">
        <f t="shared" si="63"/>
        <v>0</v>
      </c>
      <c r="V51" s="210">
        <f t="shared" si="63"/>
        <v>0</v>
      </c>
      <c r="W51" s="210">
        <f t="shared" si="63"/>
        <v>0</v>
      </c>
      <c r="X51" s="210">
        <f t="shared" si="63"/>
        <v>0</v>
      </c>
      <c r="Y51" s="210">
        <f t="shared" si="63"/>
        <v>0</v>
      </c>
      <c r="Z51" s="210">
        <f t="shared" si="63"/>
        <v>0</v>
      </c>
      <c r="AA51" s="210">
        <f t="shared" si="63"/>
        <v>0</v>
      </c>
      <c r="AB51" s="210">
        <f t="shared" si="63"/>
        <v>0</v>
      </c>
      <c r="AC51" s="210">
        <f t="shared" si="63"/>
        <v>0</v>
      </c>
      <c r="AD51" s="210">
        <f t="shared" si="63"/>
        <v>0</v>
      </c>
      <c r="AE51" s="210">
        <f t="shared" si="63"/>
        <v>0</v>
      </c>
      <c r="AF51" s="210">
        <f t="shared" si="63"/>
        <v>0</v>
      </c>
      <c r="AG51" s="210">
        <f t="shared" si="63"/>
        <v>0</v>
      </c>
      <c r="AH51" s="210">
        <f t="shared" si="63"/>
        <v>0</v>
      </c>
      <c r="AI51" s="210">
        <f t="shared" si="63"/>
        <v>0</v>
      </c>
      <c r="AJ51" s="210">
        <f t="shared" si="63"/>
        <v>0</v>
      </c>
      <c r="AK51" s="210">
        <f t="shared" si="63"/>
        <v>0</v>
      </c>
      <c r="AL51" s="210">
        <f t="shared" ref="AL51:BQ51" si="64">IF(AL$22&lt;=$E$24,IF(AL$22&lt;=$D$24,IF(AL$22&lt;=$C$24,IF(AL$22&lt;=$B$24,$B117,($C34-$B34)/($C$24-$B$24)),($D34-$C34)/($D$24-$C$24)),($E34-$D34)/($E$24-$D$24)),$F117)</f>
        <v>0</v>
      </c>
      <c r="AM51" s="210">
        <f t="shared" si="64"/>
        <v>0</v>
      </c>
      <c r="AN51" s="210">
        <f t="shared" si="64"/>
        <v>0</v>
      </c>
      <c r="AO51" s="210">
        <f t="shared" si="64"/>
        <v>0</v>
      </c>
      <c r="AP51" s="210">
        <f t="shared" si="64"/>
        <v>0</v>
      </c>
      <c r="AQ51" s="210">
        <f t="shared" si="64"/>
        <v>0</v>
      </c>
      <c r="AR51" s="210">
        <f t="shared" si="64"/>
        <v>0</v>
      </c>
      <c r="AS51" s="210">
        <f t="shared" si="64"/>
        <v>0</v>
      </c>
      <c r="AT51" s="210">
        <f t="shared" si="64"/>
        <v>0</v>
      </c>
      <c r="AU51" s="210">
        <f t="shared" si="64"/>
        <v>0</v>
      </c>
      <c r="AV51" s="210">
        <f t="shared" si="64"/>
        <v>0</v>
      </c>
      <c r="AW51" s="210">
        <f t="shared" si="64"/>
        <v>0</v>
      </c>
      <c r="AX51" s="210">
        <f t="shared" si="64"/>
        <v>0</v>
      </c>
      <c r="AY51" s="210">
        <f t="shared" si="64"/>
        <v>0</v>
      </c>
      <c r="AZ51" s="210">
        <f t="shared" si="64"/>
        <v>0</v>
      </c>
      <c r="BA51" s="210">
        <f t="shared" si="64"/>
        <v>0</v>
      </c>
      <c r="BB51" s="210">
        <f t="shared" si="64"/>
        <v>0</v>
      </c>
      <c r="BC51" s="210">
        <f t="shared" si="64"/>
        <v>0</v>
      </c>
      <c r="BD51" s="210">
        <f t="shared" si="64"/>
        <v>0</v>
      </c>
      <c r="BE51" s="210">
        <f t="shared" si="64"/>
        <v>0</v>
      </c>
      <c r="BF51" s="210">
        <f t="shared" si="64"/>
        <v>0</v>
      </c>
      <c r="BG51" s="210">
        <f t="shared" si="64"/>
        <v>0</v>
      </c>
      <c r="BH51" s="210">
        <f t="shared" si="64"/>
        <v>0</v>
      </c>
      <c r="BI51" s="210">
        <f t="shared" si="64"/>
        <v>0</v>
      </c>
      <c r="BJ51" s="210">
        <f t="shared" si="64"/>
        <v>0</v>
      </c>
      <c r="BK51" s="210">
        <f t="shared" si="64"/>
        <v>0</v>
      </c>
      <c r="BL51" s="210">
        <f t="shared" si="64"/>
        <v>0</v>
      </c>
      <c r="BM51" s="210">
        <f t="shared" si="64"/>
        <v>0</v>
      </c>
      <c r="BN51" s="210">
        <f t="shared" si="64"/>
        <v>0</v>
      </c>
      <c r="BO51" s="210">
        <f t="shared" si="64"/>
        <v>0</v>
      </c>
      <c r="BP51" s="210">
        <f t="shared" si="64"/>
        <v>0</v>
      </c>
      <c r="BQ51" s="210">
        <f t="shared" si="64"/>
        <v>650.88881925091823</v>
      </c>
      <c r="BR51" s="210">
        <f t="shared" ref="BR51:DA51" si="65">IF(BR$22&lt;=$E$24,IF(BR$22&lt;=$D$24,IF(BR$22&lt;=$C$24,IF(BR$22&lt;=$B$24,$B117,($C34-$B34)/($C$24-$B$24)),($D34-$C34)/($D$24-$C$24)),($E34-$D34)/($E$24-$D$24)),$F117)</f>
        <v>650.88881925091823</v>
      </c>
      <c r="BS51" s="210">
        <f t="shared" si="65"/>
        <v>650.88881925091823</v>
      </c>
      <c r="BT51" s="210">
        <f t="shared" si="65"/>
        <v>650.88881925091823</v>
      </c>
      <c r="BU51" s="210">
        <f t="shared" si="65"/>
        <v>650.88881925091823</v>
      </c>
      <c r="BV51" s="210">
        <f t="shared" si="65"/>
        <v>650.88881925091823</v>
      </c>
      <c r="BW51" s="210">
        <f t="shared" si="65"/>
        <v>650.88881925091823</v>
      </c>
      <c r="BX51" s="210">
        <f t="shared" si="65"/>
        <v>650.88881925091823</v>
      </c>
      <c r="BY51" s="210">
        <f t="shared" si="65"/>
        <v>650.88881925091823</v>
      </c>
      <c r="BZ51" s="210">
        <f t="shared" si="65"/>
        <v>650.88881925091823</v>
      </c>
      <c r="CA51" s="210">
        <f t="shared" si="65"/>
        <v>650.88881925091823</v>
      </c>
      <c r="CB51" s="210">
        <f t="shared" si="65"/>
        <v>650.88881925091823</v>
      </c>
      <c r="CC51" s="210">
        <f t="shared" si="65"/>
        <v>650.88881925091823</v>
      </c>
      <c r="CD51" s="210">
        <f t="shared" si="65"/>
        <v>650.88881925091823</v>
      </c>
      <c r="CE51" s="210">
        <f t="shared" si="65"/>
        <v>650.88881925091823</v>
      </c>
      <c r="CF51" s="210">
        <f t="shared" si="65"/>
        <v>650.88881925091823</v>
      </c>
      <c r="CG51" s="210">
        <f t="shared" si="65"/>
        <v>650.88881925091823</v>
      </c>
      <c r="CH51" s="210">
        <f t="shared" si="65"/>
        <v>650.88881925091823</v>
      </c>
      <c r="CI51" s="210">
        <f t="shared" si="65"/>
        <v>650.88881925091823</v>
      </c>
      <c r="CJ51" s="210">
        <f t="shared" si="65"/>
        <v>650.88881925091823</v>
      </c>
      <c r="CK51" s="210">
        <f t="shared" si="65"/>
        <v>6456.6120826165879</v>
      </c>
      <c r="CL51" s="210">
        <f t="shared" si="65"/>
        <v>6456.6120826165879</v>
      </c>
      <c r="CM51" s="210">
        <f t="shared" si="65"/>
        <v>6456.6120826165879</v>
      </c>
      <c r="CN51" s="210">
        <f t="shared" si="65"/>
        <v>6456.6120826165879</v>
      </c>
      <c r="CO51" s="210">
        <f t="shared" si="65"/>
        <v>6456.6120826165879</v>
      </c>
      <c r="CP51" s="210">
        <f t="shared" si="65"/>
        <v>6456.6120826165879</v>
      </c>
      <c r="CQ51" s="210">
        <f t="shared" si="65"/>
        <v>6456.6120826165879</v>
      </c>
      <c r="CR51" s="210">
        <f t="shared" si="65"/>
        <v>6456.6120826165879</v>
      </c>
      <c r="CS51" s="210">
        <f t="shared" si="65"/>
        <v>6456.6120826165879</v>
      </c>
      <c r="CT51" s="210">
        <f t="shared" si="65"/>
        <v>6456.6120826165879</v>
      </c>
      <c r="CU51" s="210">
        <f t="shared" si="65"/>
        <v>6456.6120826165879</v>
      </c>
      <c r="CV51" s="210">
        <f t="shared" si="65"/>
        <v>6456.6120826165879</v>
      </c>
      <c r="CW51" s="210">
        <f t="shared" si="65"/>
        <v>6456.6120826165879</v>
      </c>
      <c r="CX51" s="210">
        <f t="shared" si="65"/>
        <v>6203.5</v>
      </c>
      <c r="CY51" s="210">
        <f t="shared" si="65"/>
        <v>6203.5</v>
      </c>
      <c r="CZ51" s="210">
        <f t="shared" si="65"/>
        <v>6203.5</v>
      </c>
      <c r="DA51" s="210">
        <f t="shared" si="65"/>
        <v>6203.5</v>
      </c>
    </row>
    <row r="52" spans="1:105">
      <c r="A52" s="201" t="str">
        <f>Income!A83</f>
        <v>Food transfer - official</v>
      </c>
      <c r="F52" s="210">
        <f t="shared" ref="F52:AK52" si="66">IF(F$22&lt;=$E$24,IF(F$22&lt;=$D$24,IF(F$22&lt;=$C$24,IF(F$22&lt;=$B$24,$B118,($C35-$B35)/($C$24-$B$24)),($D35-$C35)/($D$24-$C$24)),($E35-$D35)/($E$24-$D$24)),$F118)</f>
        <v>0</v>
      </c>
      <c r="G52" s="210">
        <f t="shared" si="66"/>
        <v>0</v>
      </c>
      <c r="H52" s="210">
        <f t="shared" si="66"/>
        <v>0</v>
      </c>
      <c r="I52" s="210">
        <f t="shared" si="66"/>
        <v>0</v>
      </c>
      <c r="J52" s="210">
        <f t="shared" si="66"/>
        <v>0</v>
      </c>
      <c r="K52" s="210">
        <f t="shared" si="66"/>
        <v>0</v>
      </c>
      <c r="L52" s="210">
        <f t="shared" si="66"/>
        <v>0</v>
      </c>
      <c r="M52" s="210">
        <f t="shared" si="66"/>
        <v>0</v>
      </c>
      <c r="N52" s="210">
        <f t="shared" si="66"/>
        <v>0</v>
      </c>
      <c r="O52" s="210">
        <f t="shared" si="66"/>
        <v>0</v>
      </c>
      <c r="P52" s="210">
        <f t="shared" si="66"/>
        <v>0</v>
      </c>
      <c r="Q52" s="210">
        <f t="shared" si="66"/>
        <v>0</v>
      </c>
      <c r="R52" s="210">
        <f t="shared" si="66"/>
        <v>0</v>
      </c>
      <c r="S52" s="210">
        <f t="shared" si="66"/>
        <v>0</v>
      </c>
      <c r="T52" s="210">
        <f t="shared" si="66"/>
        <v>0</v>
      </c>
      <c r="U52" s="210">
        <f t="shared" si="66"/>
        <v>0</v>
      </c>
      <c r="V52" s="210">
        <f t="shared" si="66"/>
        <v>0</v>
      </c>
      <c r="W52" s="210">
        <f t="shared" si="66"/>
        <v>0</v>
      </c>
      <c r="X52" s="210">
        <f t="shared" si="66"/>
        <v>0</v>
      </c>
      <c r="Y52" s="210">
        <f t="shared" si="66"/>
        <v>0</v>
      </c>
      <c r="Z52" s="210">
        <f t="shared" si="66"/>
        <v>0</v>
      </c>
      <c r="AA52" s="210">
        <f t="shared" si="66"/>
        <v>0</v>
      </c>
      <c r="AB52" s="210">
        <f t="shared" si="66"/>
        <v>0</v>
      </c>
      <c r="AC52" s="210">
        <f t="shared" si="66"/>
        <v>0</v>
      </c>
      <c r="AD52" s="210">
        <f t="shared" si="66"/>
        <v>0</v>
      </c>
      <c r="AE52" s="210">
        <f t="shared" si="66"/>
        <v>0</v>
      </c>
      <c r="AF52" s="210">
        <f t="shared" si="66"/>
        <v>1.2126596023639044E-14</v>
      </c>
      <c r="AG52" s="210">
        <f t="shared" si="66"/>
        <v>1.2126596023639044E-14</v>
      </c>
      <c r="AH52" s="210">
        <f t="shared" si="66"/>
        <v>1.2126596023639044E-14</v>
      </c>
      <c r="AI52" s="210">
        <f t="shared" si="66"/>
        <v>1.2126596023639044E-14</v>
      </c>
      <c r="AJ52" s="210">
        <f t="shared" si="66"/>
        <v>1.2126596023639044E-14</v>
      </c>
      <c r="AK52" s="210">
        <f t="shared" si="66"/>
        <v>1.2126596023639044E-14</v>
      </c>
      <c r="AL52" s="210">
        <f t="shared" ref="AL52:BQ52" si="67">IF(AL$22&lt;=$E$24,IF(AL$22&lt;=$D$24,IF(AL$22&lt;=$C$24,IF(AL$22&lt;=$B$24,$B118,($C35-$B35)/($C$24-$B$24)),($D35-$C35)/($D$24-$C$24)),($E35-$D35)/($E$24-$D$24)),$F118)</f>
        <v>1.2126596023639044E-14</v>
      </c>
      <c r="AM52" s="210">
        <f t="shared" si="67"/>
        <v>1.2126596023639044E-14</v>
      </c>
      <c r="AN52" s="210">
        <f t="shared" si="67"/>
        <v>1.2126596023639044E-14</v>
      </c>
      <c r="AO52" s="210">
        <f t="shared" si="67"/>
        <v>1.2126596023639044E-14</v>
      </c>
      <c r="AP52" s="210">
        <f t="shared" si="67"/>
        <v>1.2126596023639044E-14</v>
      </c>
      <c r="AQ52" s="210">
        <f t="shared" si="67"/>
        <v>1.2126596023639044E-14</v>
      </c>
      <c r="AR52" s="210">
        <f t="shared" si="67"/>
        <v>1.2126596023639044E-14</v>
      </c>
      <c r="AS52" s="210">
        <f t="shared" si="67"/>
        <v>1.2126596023639044E-14</v>
      </c>
      <c r="AT52" s="210">
        <f t="shared" si="67"/>
        <v>1.2126596023639044E-14</v>
      </c>
      <c r="AU52" s="210">
        <f t="shared" si="67"/>
        <v>1.2126596023639044E-14</v>
      </c>
      <c r="AV52" s="210">
        <f t="shared" si="67"/>
        <v>1.2126596023639044E-14</v>
      </c>
      <c r="AW52" s="210">
        <f t="shared" si="67"/>
        <v>1.2126596023639044E-14</v>
      </c>
      <c r="AX52" s="210">
        <f t="shared" si="67"/>
        <v>1.2126596023639044E-14</v>
      </c>
      <c r="AY52" s="210">
        <f t="shared" si="67"/>
        <v>1.2126596023639044E-14</v>
      </c>
      <c r="AZ52" s="210">
        <f t="shared" si="67"/>
        <v>1.2126596023639044E-14</v>
      </c>
      <c r="BA52" s="210">
        <f t="shared" si="67"/>
        <v>1.2126596023639044E-14</v>
      </c>
      <c r="BB52" s="210">
        <f t="shared" si="67"/>
        <v>1.2126596023639044E-14</v>
      </c>
      <c r="BC52" s="210">
        <f t="shared" si="67"/>
        <v>1.2126596023639044E-14</v>
      </c>
      <c r="BD52" s="210">
        <f t="shared" si="67"/>
        <v>1.2126596023639044E-14</v>
      </c>
      <c r="BE52" s="210">
        <f t="shared" si="67"/>
        <v>1.2126596023639044E-14</v>
      </c>
      <c r="BF52" s="210">
        <f t="shared" si="67"/>
        <v>1.2126596023639044E-14</v>
      </c>
      <c r="BG52" s="210">
        <f t="shared" si="67"/>
        <v>1.2126596023639044E-14</v>
      </c>
      <c r="BH52" s="210">
        <f t="shared" si="67"/>
        <v>1.2126596023639044E-14</v>
      </c>
      <c r="BI52" s="210">
        <f t="shared" si="67"/>
        <v>1.2126596023639044E-14</v>
      </c>
      <c r="BJ52" s="210">
        <f t="shared" si="67"/>
        <v>1.2126596023639044E-14</v>
      </c>
      <c r="BK52" s="210">
        <f t="shared" si="67"/>
        <v>1.2126596023639044E-14</v>
      </c>
      <c r="BL52" s="210">
        <f t="shared" si="67"/>
        <v>1.2126596023639044E-14</v>
      </c>
      <c r="BM52" s="210">
        <f t="shared" si="67"/>
        <v>1.2126596023639044E-14</v>
      </c>
      <c r="BN52" s="210">
        <f t="shared" si="67"/>
        <v>1.2126596023639044E-14</v>
      </c>
      <c r="BO52" s="210">
        <f t="shared" si="67"/>
        <v>1.2126596023639044E-14</v>
      </c>
      <c r="BP52" s="210">
        <f t="shared" si="67"/>
        <v>1.2126596023639044E-14</v>
      </c>
      <c r="BQ52" s="210">
        <f t="shared" si="67"/>
        <v>-2.2737367544323207E-14</v>
      </c>
      <c r="BR52" s="210">
        <f t="shared" ref="BR52:DA52" si="68">IF(BR$22&lt;=$E$24,IF(BR$22&lt;=$D$24,IF(BR$22&lt;=$C$24,IF(BR$22&lt;=$B$24,$B118,($C35-$B35)/($C$24-$B$24)),($D35-$C35)/($D$24-$C$24)),($E35-$D35)/($E$24-$D$24)),$F118)</f>
        <v>-2.2737367544323207E-14</v>
      </c>
      <c r="BS52" s="210">
        <f t="shared" si="68"/>
        <v>-2.2737367544323207E-14</v>
      </c>
      <c r="BT52" s="210">
        <f t="shared" si="68"/>
        <v>-2.2737367544323207E-14</v>
      </c>
      <c r="BU52" s="210">
        <f t="shared" si="68"/>
        <v>-2.2737367544323207E-14</v>
      </c>
      <c r="BV52" s="210">
        <f t="shared" si="68"/>
        <v>-2.2737367544323207E-14</v>
      </c>
      <c r="BW52" s="210">
        <f t="shared" si="68"/>
        <v>-2.2737367544323207E-14</v>
      </c>
      <c r="BX52" s="210">
        <f t="shared" si="68"/>
        <v>-2.2737367544323207E-14</v>
      </c>
      <c r="BY52" s="210">
        <f t="shared" si="68"/>
        <v>-2.2737367544323207E-14</v>
      </c>
      <c r="BZ52" s="210">
        <f t="shared" si="68"/>
        <v>-2.2737367544323207E-14</v>
      </c>
      <c r="CA52" s="210">
        <f t="shared" si="68"/>
        <v>-2.2737367544323207E-14</v>
      </c>
      <c r="CB52" s="210">
        <f t="shared" si="68"/>
        <v>-2.2737367544323207E-14</v>
      </c>
      <c r="CC52" s="210">
        <f t="shared" si="68"/>
        <v>-2.2737367544323207E-14</v>
      </c>
      <c r="CD52" s="210">
        <f t="shared" si="68"/>
        <v>-2.2737367544323207E-14</v>
      </c>
      <c r="CE52" s="210">
        <f t="shared" si="68"/>
        <v>-2.2737367544323207E-14</v>
      </c>
      <c r="CF52" s="210">
        <f t="shared" si="68"/>
        <v>-2.2737367544323207E-14</v>
      </c>
      <c r="CG52" s="210">
        <f t="shared" si="68"/>
        <v>-2.2737367544323207E-14</v>
      </c>
      <c r="CH52" s="210">
        <f t="shared" si="68"/>
        <v>-2.2737367544323207E-14</v>
      </c>
      <c r="CI52" s="210">
        <f t="shared" si="68"/>
        <v>-2.2737367544323207E-14</v>
      </c>
      <c r="CJ52" s="210">
        <f t="shared" si="68"/>
        <v>-2.2737367544323207E-14</v>
      </c>
      <c r="CK52" s="210">
        <f t="shared" si="68"/>
        <v>-167.57696138006267</v>
      </c>
      <c r="CL52" s="210">
        <f t="shared" si="68"/>
        <v>-167.57696138006267</v>
      </c>
      <c r="CM52" s="210">
        <f t="shared" si="68"/>
        <v>-167.57696138006267</v>
      </c>
      <c r="CN52" s="210">
        <f t="shared" si="68"/>
        <v>-167.57696138006267</v>
      </c>
      <c r="CO52" s="210">
        <f t="shared" si="68"/>
        <v>-167.57696138006267</v>
      </c>
      <c r="CP52" s="210">
        <f t="shared" si="68"/>
        <v>-167.57696138006267</v>
      </c>
      <c r="CQ52" s="210">
        <f t="shared" si="68"/>
        <v>-167.57696138006267</v>
      </c>
      <c r="CR52" s="210">
        <f t="shared" si="68"/>
        <v>-167.57696138006267</v>
      </c>
      <c r="CS52" s="210">
        <f t="shared" si="68"/>
        <v>-167.57696138006267</v>
      </c>
      <c r="CT52" s="210">
        <f t="shared" si="68"/>
        <v>-167.57696138006267</v>
      </c>
      <c r="CU52" s="210">
        <f t="shared" si="68"/>
        <v>-167.57696138006267</v>
      </c>
      <c r="CV52" s="210">
        <f t="shared" si="68"/>
        <v>-167.57696138006267</v>
      </c>
      <c r="CW52" s="210">
        <f t="shared" si="68"/>
        <v>-167.57696138006267</v>
      </c>
      <c r="CX52" s="210">
        <f t="shared" si="68"/>
        <v>14.730000000000004</v>
      </c>
      <c r="CY52" s="210">
        <f t="shared" si="68"/>
        <v>14.730000000000004</v>
      </c>
      <c r="CZ52" s="210">
        <f t="shared" si="68"/>
        <v>14.730000000000004</v>
      </c>
      <c r="DA52" s="210">
        <f t="shared" si="68"/>
        <v>14.730000000000004</v>
      </c>
    </row>
    <row r="53" spans="1:105">
      <c r="A53" s="201" t="str">
        <f>Income!A85</f>
        <v>Cash transfer - official</v>
      </c>
      <c r="F53" s="210">
        <f t="shared" ref="F53:AK53" si="69">IF(F$22&lt;=$E$24,IF(F$22&lt;=$D$24,IF(F$22&lt;=$C$24,IF(F$22&lt;=$B$24,$B119,($C36-$B36)/($C$24-$B$24)),($D36-$C36)/($D$24-$C$24)),($E36-$D36)/($E$24-$D$24)),$F119)</f>
        <v>0</v>
      </c>
      <c r="G53" s="210">
        <f t="shared" si="69"/>
        <v>0</v>
      </c>
      <c r="H53" s="210">
        <f t="shared" si="69"/>
        <v>0</v>
      </c>
      <c r="I53" s="210">
        <f t="shared" si="69"/>
        <v>0</v>
      </c>
      <c r="J53" s="210">
        <f t="shared" si="69"/>
        <v>0</v>
      </c>
      <c r="K53" s="210">
        <f t="shared" si="69"/>
        <v>0</v>
      </c>
      <c r="L53" s="210">
        <f t="shared" si="69"/>
        <v>0</v>
      </c>
      <c r="M53" s="210">
        <f t="shared" si="69"/>
        <v>0</v>
      </c>
      <c r="N53" s="210">
        <f t="shared" si="69"/>
        <v>0</v>
      </c>
      <c r="O53" s="210">
        <f t="shared" si="69"/>
        <v>0</v>
      </c>
      <c r="P53" s="210">
        <f t="shared" si="69"/>
        <v>0</v>
      </c>
      <c r="Q53" s="210">
        <f t="shared" si="69"/>
        <v>0</v>
      </c>
      <c r="R53" s="210">
        <f t="shared" si="69"/>
        <v>0</v>
      </c>
      <c r="S53" s="210">
        <f t="shared" si="69"/>
        <v>0</v>
      </c>
      <c r="T53" s="210">
        <f t="shared" si="69"/>
        <v>0</v>
      </c>
      <c r="U53" s="210">
        <f t="shared" si="69"/>
        <v>0</v>
      </c>
      <c r="V53" s="210">
        <f t="shared" si="69"/>
        <v>0</v>
      </c>
      <c r="W53" s="210">
        <f t="shared" si="69"/>
        <v>0</v>
      </c>
      <c r="X53" s="210">
        <f t="shared" si="69"/>
        <v>0</v>
      </c>
      <c r="Y53" s="210">
        <f t="shared" si="69"/>
        <v>0</v>
      </c>
      <c r="Z53" s="210">
        <f t="shared" si="69"/>
        <v>0</v>
      </c>
      <c r="AA53" s="210">
        <f t="shared" si="69"/>
        <v>0</v>
      </c>
      <c r="AB53" s="210">
        <f t="shared" si="69"/>
        <v>0</v>
      </c>
      <c r="AC53" s="210">
        <f t="shared" si="69"/>
        <v>0</v>
      </c>
      <c r="AD53" s="210">
        <f t="shared" si="69"/>
        <v>0</v>
      </c>
      <c r="AE53" s="210">
        <f t="shared" si="69"/>
        <v>0</v>
      </c>
      <c r="AF53" s="210">
        <f t="shared" si="69"/>
        <v>-43.392587950061234</v>
      </c>
      <c r="AG53" s="210">
        <f t="shared" si="69"/>
        <v>-43.392587950061234</v>
      </c>
      <c r="AH53" s="210">
        <f t="shared" si="69"/>
        <v>-43.392587950061234</v>
      </c>
      <c r="AI53" s="210">
        <f t="shared" si="69"/>
        <v>-43.392587950061234</v>
      </c>
      <c r="AJ53" s="210">
        <f t="shared" si="69"/>
        <v>-43.392587950061234</v>
      </c>
      <c r="AK53" s="210">
        <f t="shared" si="69"/>
        <v>-43.392587950061234</v>
      </c>
      <c r="AL53" s="210">
        <f t="shared" ref="AL53:BQ53" si="70">IF(AL$22&lt;=$E$24,IF(AL$22&lt;=$D$24,IF(AL$22&lt;=$C$24,IF(AL$22&lt;=$B$24,$B119,($C36-$B36)/($C$24-$B$24)),($D36-$C36)/($D$24-$C$24)),($E36-$D36)/($E$24-$D$24)),$F119)</f>
        <v>-43.392587950061234</v>
      </c>
      <c r="AM53" s="210">
        <f t="shared" si="70"/>
        <v>-43.392587950061234</v>
      </c>
      <c r="AN53" s="210">
        <f t="shared" si="70"/>
        <v>-43.392587950061234</v>
      </c>
      <c r="AO53" s="210">
        <f t="shared" si="70"/>
        <v>-43.392587950061234</v>
      </c>
      <c r="AP53" s="210">
        <f t="shared" si="70"/>
        <v>-43.392587950061234</v>
      </c>
      <c r="AQ53" s="210">
        <f t="shared" si="70"/>
        <v>-43.392587950061234</v>
      </c>
      <c r="AR53" s="210">
        <f t="shared" si="70"/>
        <v>-43.392587950061234</v>
      </c>
      <c r="AS53" s="210">
        <f t="shared" si="70"/>
        <v>-43.392587950061234</v>
      </c>
      <c r="AT53" s="210">
        <f t="shared" si="70"/>
        <v>-43.392587950061234</v>
      </c>
      <c r="AU53" s="210">
        <f t="shared" si="70"/>
        <v>-43.392587950061234</v>
      </c>
      <c r="AV53" s="210">
        <f t="shared" si="70"/>
        <v>-43.392587950061234</v>
      </c>
      <c r="AW53" s="210">
        <f t="shared" si="70"/>
        <v>-43.392587950061234</v>
      </c>
      <c r="AX53" s="210">
        <f t="shared" si="70"/>
        <v>-43.392587950061234</v>
      </c>
      <c r="AY53" s="210">
        <f t="shared" si="70"/>
        <v>-43.392587950061234</v>
      </c>
      <c r="AZ53" s="210">
        <f t="shared" si="70"/>
        <v>-43.392587950061234</v>
      </c>
      <c r="BA53" s="210">
        <f t="shared" si="70"/>
        <v>-43.392587950061234</v>
      </c>
      <c r="BB53" s="210">
        <f t="shared" si="70"/>
        <v>-43.392587950061234</v>
      </c>
      <c r="BC53" s="210">
        <f t="shared" si="70"/>
        <v>-43.392587950061234</v>
      </c>
      <c r="BD53" s="210">
        <f t="shared" si="70"/>
        <v>-43.392587950061234</v>
      </c>
      <c r="BE53" s="210">
        <f t="shared" si="70"/>
        <v>-43.392587950061234</v>
      </c>
      <c r="BF53" s="210">
        <f t="shared" si="70"/>
        <v>-43.392587950061234</v>
      </c>
      <c r="BG53" s="210">
        <f t="shared" si="70"/>
        <v>-43.392587950061234</v>
      </c>
      <c r="BH53" s="210">
        <f t="shared" si="70"/>
        <v>-43.392587950061234</v>
      </c>
      <c r="BI53" s="210">
        <f t="shared" si="70"/>
        <v>-43.392587950061234</v>
      </c>
      <c r="BJ53" s="210">
        <f t="shared" si="70"/>
        <v>-43.392587950061234</v>
      </c>
      <c r="BK53" s="210">
        <f t="shared" si="70"/>
        <v>-43.392587950061234</v>
      </c>
      <c r="BL53" s="210">
        <f t="shared" si="70"/>
        <v>-43.392587950061234</v>
      </c>
      <c r="BM53" s="210">
        <f t="shared" si="70"/>
        <v>-43.392587950061234</v>
      </c>
      <c r="BN53" s="210">
        <f t="shared" si="70"/>
        <v>-43.392587950061234</v>
      </c>
      <c r="BO53" s="210">
        <f t="shared" si="70"/>
        <v>-43.392587950061234</v>
      </c>
      <c r="BP53" s="210">
        <f t="shared" si="70"/>
        <v>-43.392587950061234</v>
      </c>
      <c r="BQ53" s="210">
        <f t="shared" si="70"/>
        <v>-1645.8005675744182</v>
      </c>
      <c r="BR53" s="210">
        <f t="shared" ref="BR53:DA53" si="71">IF(BR$22&lt;=$E$24,IF(BR$22&lt;=$D$24,IF(BR$22&lt;=$C$24,IF(BR$22&lt;=$B$24,$B119,($C36-$B36)/($C$24-$B$24)),($D36-$C36)/($D$24-$C$24)),($E36-$D36)/($E$24-$D$24)),$F119)</f>
        <v>-1645.8005675744182</v>
      </c>
      <c r="BS53" s="210">
        <f t="shared" si="71"/>
        <v>-1645.8005675744182</v>
      </c>
      <c r="BT53" s="210">
        <f t="shared" si="71"/>
        <v>-1645.8005675744182</v>
      </c>
      <c r="BU53" s="210">
        <f t="shared" si="71"/>
        <v>-1645.8005675744182</v>
      </c>
      <c r="BV53" s="210">
        <f t="shared" si="71"/>
        <v>-1645.8005675744182</v>
      </c>
      <c r="BW53" s="210">
        <f t="shared" si="71"/>
        <v>-1645.8005675744182</v>
      </c>
      <c r="BX53" s="210">
        <f t="shared" si="71"/>
        <v>-1645.8005675744182</v>
      </c>
      <c r="BY53" s="210">
        <f t="shared" si="71"/>
        <v>-1645.8005675744182</v>
      </c>
      <c r="BZ53" s="210">
        <f t="shared" si="71"/>
        <v>-1645.8005675744182</v>
      </c>
      <c r="CA53" s="210">
        <f t="shared" si="71"/>
        <v>-1645.8005675744182</v>
      </c>
      <c r="CB53" s="210">
        <f t="shared" si="71"/>
        <v>-1645.8005675744182</v>
      </c>
      <c r="CC53" s="210">
        <f t="shared" si="71"/>
        <v>-1645.8005675744182</v>
      </c>
      <c r="CD53" s="210">
        <f t="shared" si="71"/>
        <v>-1645.8005675744182</v>
      </c>
      <c r="CE53" s="210">
        <f t="shared" si="71"/>
        <v>-1645.8005675744182</v>
      </c>
      <c r="CF53" s="210">
        <f t="shared" si="71"/>
        <v>-1645.8005675744182</v>
      </c>
      <c r="CG53" s="210">
        <f t="shared" si="71"/>
        <v>-1645.8005675744182</v>
      </c>
      <c r="CH53" s="210">
        <f t="shared" si="71"/>
        <v>-1645.8005675744182</v>
      </c>
      <c r="CI53" s="210">
        <f t="shared" si="71"/>
        <v>-1645.8005675744182</v>
      </c>
      <c r="CJ53" s="210">
        <f t="shared" si="71"/>
        <v>-1645.8005675744182</v>
      </c>
      <c r="CK53" s="210">
        <f t="shared" si="71"/>
        <v>911.24434695128537</v>
      </c>
      <c r="CL53" s="210">
        <f t="shared" si="71"/>
        <v>911.24434695128537</v>
      </c>
      <c r="CM53" s="210">
        <f t="shared" si="71"/>
        <v>911.24434695128537</v>
      </c>
      <c r="CN53" s="210">
        <f t="shared" si="71"/>
        <v>911.24434695128537</v>
      </c>
      <c r="CO53" s="210">
        <f t="shared" si="71"/>
        <v>911.24434695128537</v>
      </c>
      <c r="CP53" s="210">
        <f t="shared" si="71"/>
        <v>911.24434695128537</v>
      </c>
      <c r="CQ53" s="210">
        <f t="shared" si="71"/>
        <v>911.24434695128537</v>
      </c>
      <c r="CR53" s="210">
        <f t="shared" si="71"/>
        <v>911.24434695128537</v>
      </c>
      <c r="CS53" s="210">
        <f t="shared" si="71"/>
        <v>911.24434695128537</v>
      </c>
      <c r="CT53" s="210">
        <f t="shared" si="71"/>
        <v>911.24434695128537</v>
      </c>
      <c r="CU53" s="210">
        <f t="shared" si="71"/>
        <v>911.24434695128537</v>
      </c>
      <c r="CV53" s="210">
        <f t="shared" si="71"/>
        <v>911.24434695128537</v>
      </c>
      <c r="CW53" s="210">
        <f t="shared" si="71"/>
        <v>911.24434695128537</v>
      </c>
      <c r="CX53" s="210">
        <f t="shared" si="71"/>
        <v>-1127.83</v>
      </c>
      <c r="CY53" s="210">
        <f t="shared" si="71"/>
        <v>-1127.83</v>
      </c>
      <c r="CZ53" s="210">
        <f t="shared" si="71"/>
        <v>-1127.83</v>
      </c>
      <c r="DA53" s="210">
        <f t="shared" si="71"/>
        <v>-1127.83</v>
      </c>
    </row>
    <row r="54" spans="1:105">
      <c r="A54" s="201" t="str">
        <f>Income!A86</f>
        <v>Cash transfer - gifts</v>
      </c>
      <c r="F54" s="210">
        <f t="shared" ref="F54:AK54" si="72">IF(F$22&lt;=$E$24,IF(F$22&lt;=$D$24,IF(F$22&lt;=$C$24,IF(F$22&lt;=$B$24,$B120,($C37-$B37)/($C$24-$B$24)),($D37-$C37)/($D$24-$C$24)),($E37-$D37)/($E$24-$D$24)),$F120)</f>
        <v>0</v>
      </c>
      <c r="G54" s="210">
        <f t="shared" si="72"/>
        <v>0</v>
      </c>
      <c r="H54" s="210">
        <f t="shared" si="72"/>
        <v>0</v>
      </c>
      <c r="I54" s="210">
        <f t="shared" si="72"/>
        <v>0</v>
      </c>
      <c r="J54" s="210">
        <f t="shared" si="72"/>
        <v>0</v>
      </c>
      <c r="K54" s="210">
        <f t="shared" si="72"/>
        <v>0</v>
      </c>
      <c r="L54" s="210">
        <f t="shared" si="72"/>
        <v>0</v>
      </c>
      <c r="M54" s="210">
        <f t="shared" si="72"/>
        <v>0</v>
      </c>
      <c r="N54" s="210">
        <f t="shared" si="72"/>
        <v>0</v>
      </c>
      <c r="O54" s="210">
        <f t="shared" si="72"/>
        <v>0</v>
      </c>
      <c r="P54" s="210">
        <f t="shared" si="72"/>
        <v>0</v>
      </c>
      <c r="Q54" s="210">
        <f t="shared" si="72"/>
        <v>0</v>
      </c>
      <c r="R54" s="210">
        <f t="shared" si="72"/>
        <v>0</v>
      </c>
      <c r="S54" s="210">
        <f t="shared" si="72"/>
        <v>0</v>
      </c>
      <c r="T54" s="210">
        <f t="shared" si="72"/>
        <v>0</v>
      </c>
      <c r="U54" s="210">
        <f t="shared" si="72"/>
        <v>0</v>
      </c>
      <c r="V54" s="210">
        <f t="shared" si="72"/>
        <v>0</v>
      </c>
      <c r="W54" s="210">
        <f t="shared" si="72"/>
        <v>0</v>
      </c>
      <c r="X54" s="210">
        <f t="shared" si="72"/>
        <v>0</v>
      </c>
      <c r="Y54" s="210">
        <f t="shared" si="72"/>
        <v>0</v>
      </c>
      <c r="Z54" s="210">
        <f t="shared" si="72"/>
        <v>0</v>
      </c>
      <c r="AA54" s="210">
        <f t="shared" si="72"/>
        <v>0</v>
      </c>
      <c r="AB54" s="210">
        <f t="shared" si="72"/>
        <v>0</v>
      </c>
      <c r="AC54" s="210">
        <f t="shared" si="72"/>
        <v>0</v>
      </c>
      <c r="AD54" s="210">
        <f t="shared" si="72"/>
        <v>0</v>
      </c>
      <c r="AE54" s="210">
        <f t="shared" si="72"/>
        <v>0</v>
      </c>
      <c r="AF54" s="210">
        <f t="shared" si="72"/>
        <v>0</v>
      </c>
      <c r="AG54" s="210">
        <f t="shared" si="72"/>
        <v>0</v>
      </c>
      <c r="AH54" s="210">
        <f t="shared" si="72"/>
        <v>0</v>
      </c>
      <c r="AI54" s="210">
        <f t="shared" si="72"/>
        <v>0</v>
      </c>
      <c r="AJ54" s="210">
        <f t="shared" si="72"/>
        <v>0</v>
      </c>
      <c r="AK54" s="210">
        <f t="shared" si="72"/>
        <v>0</v>
      </c>
      <c r="AL54" s="210">
        <f t="shared" ref="AL54:BQ54" si="73">IF(AL$22&lt;=$E$24,IF(AL$22&lt;=$D$24,IF(AL$22&lt;=$C$24,IF(AL$22&lt;=$B$24,$B120,($C37-$B37)/($C$24-$B$24)),($D37-$C37)/($D$24-$C$24)),($E37-$D37)/($E$24-$D$24)),$F120)</f>
        <v>0</v>
      </c>
      <c r="AM54" s="210">
        <f t="shared" si="73"/>
        <v>0</v>
      </c>
      <c r="AN54" s="210">
        <f t="shared" si="73"/>
        <v>0</v>
      </c>
      <c r="AO54" s="210">
        <f t="shared" si="73"/>
        <v>0</v>
      </c>
      <c r="AP54" s="210">
        <f t="shared" si="73"/>
        <v>0</v>
      </c>
      <c r="AQ54" s="210">
        <f t="shared" si="73"/>
        <v>0</v>
      </c>
      <c r="AR54" s="210">
        <f t="shared" si="73"/>
        <v>0</v>
      </c>
      <c r="AS54" s="210">
        <f t="shared" si="73"/>
        <v>0</v>
      </c>
      <c r="AT54" s="210">
        <f t="shared" si="73"/>
        <v>0</v>
      </c>
      <c r="AU54" s="210">
        <f t="shared" si="73"/>
        <v>0</v>
      </c>
      <c r="AV54" s="210">
        <f t="shared" si="73"/>
        <v>0</v>
      </c>
      <c r="AW54" s="210">
        <f t="shared" si="73"/>
        <v>0</v>
      </c>
      <c r="AX54" s="210">
        <f t="shared" si="73"/>
        <v>0</v>
      </c>
      <c r="AY54" s="210">
        <f t="shared" si="73"/>
        <v>0</v>
      </c>
      <c r="AZ54" s="210">
        <f t="shared" si="73"/>
        <v>0</v>
      </c>
      <c r="BA54" s="210">
        <f t="shared" si="73"/>
        <v>0</v>
      </c>
      <c r="BB54" s="210">
        <f t="shared" si="73"/>
        <v>0</v>
      </c>
      <c r="BC54" s="210">
        <f t="shared" si="73"/>
        <v>0</v>
      </c>
      <c r="BD54" s="210">
        <f t="shared" si="73"/>
        <v>0</v>
      </c>
      <c r="BE54" s="210">
        <f t="shared" si="73"/>
        <v>0</v>
      </c>
      <c r="BF54" s="210">
        <f t="shared" si="73"/>
        <v>0</v>
      </c>
      <c r="BG54" s="210">
        <f t="shared" si="73"/>
        <v>0</v>
      </c>
      <c r="BH54" s="210">
        <f t="shared" si="73"/>
        <v>0</v>
      </c>
      <c r="BI54" s="210">
        <f t="shared" si="73"/>
        <v>0</v>
      </c>
      <c r="BJ54" s="210">
        <f t="shared" si="73"/>
        <v>0</v>
      </c>
      <c r="BK54" s="210">
        <f t="shared" si="73"/>
        <v>0</v>
      </c>
      <c r="BL54" s="210">
        <f t="shared" si="73"/>
        <v>0</v>
      </c>
      <c r="BM54" s="210">
        <f t="shared" si="73"/>
        <v>0</v>
      </c>
      <c r="BN54" s="210">
        <f t="shared" si="73"/>
        <v>0</v>
      </c>
      <c r="BO54" s="210">
        <f t="shared" si="73"/>
        <v>0</v>
      </c>
      <c r="BP54" s="210">
        <f t="shared" si="73"/>
        <v>0</v>
      </c>
      <c r="BQ54" s="210">
        <f t="shared" si="73"/>
        <v>1025.0217625998712</v>
      </c>
      <c r="BR54" s="210">
        <f t="shared" ref="BR54:DA54" si="74">IF(BR$22&lt;=$E$24,IF(BR$22&lt;=$D$24,IF(BR$22&lt;=$C$24,IF(BR$22&lt;=$B$24,$B120,($C37-$B37)/($C$24-$B$24)),($D37-$C37)/($D$24-$C$24)),($E37-$D37)/($E$24-$D$24)),$F120)</f>
        <v>1025.0217625998712</v>
      </c>
      <c r="BS54" s="210">
        <f t="shared" si="74"/>
        <v>1025.0217625998712</v>
      </c>
      <c r="BT54" s="210">
        <f t="shared" si="74"/>
        <v>1025.0217625998712</v>
      </c>
      <c r="BU54" s="210">
        <f t="shared" si="74"/>
        <v>1025.0217625998712</v>
      </c>
      <c r="BV54" s="210">
        <f t="shared" si="74"/>
        <v>1025.0217625998712</v>
      </c>
      <c r="BW54" s="210">
        <f t="shared" si="74"/>
        <v>1025.0217625998712</v>
      </c>
      <c r="BX54" s="210">
        <f t="shared" si="74"/>
        <v>1025.0217625998712</v>
      </c>
      <c r="BY54" s="210">
        <f t="shared" si="74"/>
        <v>1025.0217625998712</v>
      </c>
      <c r="BZ54" s="210">
        <f t="shared" si="74"/>
        <v>1025.0217625998712</v>
      </c>
      <c r="CA54" s="210">
        <f t="shared" si="74"/>
        <v>1025.0217625998712</v>
      </c>
      <c r="CB54" s="210">
        <f t="shared" si="74"/>
        <v>1025.0217625998712</v>
      </c>
      <c r="CC54" s="210">
        <f t="shared" si="74"/>
        <v>1025.0217625998712</v>
      </c>
      <c r="CD54" s="210">
        <f t="shared" si="74"/>
        <v>1025.0217625998712</v>
      </c>
      <c r="CE54" s="210">
        <f t="shared" si="74"/>
        <v>1025.0217625998712</v>
      </c>
      <c r="CF54" s="210">
        <f t="shared" si="74"/>
        <v>1025.0217625998712</v>
      </c>
      <c r="CG54" s="210">
        <f t="shared" si="74"/>
        <v>1025.0217625998712</v>
      </c>
      <c r="CH54" s="210">
        <f t="shared" si="74"/>
        <v>1025.0217625998712</v>
      </c>
      <c r="CI54" s="210">
        <f t="shared" si="74"/>
        <v>1025.0217625998712</v>
      </c>
      <c r="CJ54" s="210">
        <f t="shared" si="74"/>
        <v>1025.0217625998712</v>
      </c>
      <c r="CK54" s="210">
        <f t="shared" si="74"/>
        <v>1473.9812946186148</v>
      </c>
      <c r="CL54" s="210">
        <f t="shared" si="74"/>
        <v>1473.9812946186148</v>
      </c>
      <c r="CM54" s="210">
        <f t="shared" si="74"/>
        <v>1473.9812946186148</v>
      </c>
      <c r="CN54" s="210">
        <f t="shared" si="74"/>
        <v>1473.9812946186148</v>
      </c>
      <c r="CO54" s="210">
        <f t="shared" si="74"/>
        <v>1473.9812946186148</v>
      </c>
      <c r="CP54" s="210">
        <f t="shared" si="74"/>
        <v>1473.9812946186148</v>
      </c>
      <c r="CQ54" s="210">
        <f t="shared" si="74"/>
        <v>1473.9812946186148</v>
      </c>
      <c r="CR54" s="210">
        <f t="shared" si="74"/>
        <v>1473.9812946186148</v>
      </c>
      <c r="CS54" s="210">
        <f t="shared" si="74"/>
        <v>1473.9812946186148</v>
      </c>
      <c r="CT54" s="210">
        <f t="shared" si="74"/>
        <v>1473.9812946186148</v>
      </c>
      <c r="CU54" s="210">
        <f t="shared" si="74"/>
        <v>1473.9812946186148</v>
      </c>
      <c r="CV54" s="210">
        <f t="shared" si="74"/>
        <v>1473.9812946186148</v>
      </c>
      <c r="CW54" s="210">
        <f t="shared" si="74"/>
        <v>1473.9812946186148</v>
      </c>
      <c r="CX54" s="210">
        <f t="shared" si="74"/>
        <v>296.33</v>
      </c>
      <c r="CY54" s="210">
        <f t="shared" si="74"/>
        <v>296.33</v>
      </c>
      <c r="CZ54" s="210">
        <f t="shared" si="74"/>
        <v>296.33</v>
      </c>
      <c r="DA54" s="210">
        <f t="shared" si="74"/>
        <v>296.33</v>
      </c>
    </row>
    <row r="55" spans="1:105">
      <c r="A55" s="201" t="str">
        <f>Income!A88</f>
        <v>TOTAL</v>
      </c>
    </row>
    <row r="56" spans="1:105">
      <c r="A56" s="201" t="str">
        <f>Income!A89</f>
        <v>Food Poverty line</v>
      </c>
    </row>
    <row r="57" spans="1:105">
      <c r="A57" s="201" t="str">
        <f>Income!A90</f>
        <v>Lower Bound Poverty line</v>
      </c>
    </row>
    <row r="59" spans="1:105" s="204" customFormat="1">
      <c r="A59" s="204" t="str">
        <f>Income!A72</f>
        <v>Own crops Consumed</v>
      </c>
      <c r="F59" s="204">
        <f t="shared" ref="F59:AK59" si="75">IF(F$22&lt;=$E$24,IF(F$22&lt;=$D$24,IF(F$22&lt;=$C$24,IF(F$22&lt;=$B$24,IF(F3=0,0,IF($B25+($B$24-F$22)*F42&lt;0,0,$B25+($B$24-F$22)*F42)),$B25+(F$22-$B$24)*F42),$C25+(F$22-$C$24)*F42),$D25+(F$22-$D$24)*F42),IF($E25+(F$22-$E$24)*F42&lt;0,0,$E25+(F$22-$E$24)*F42))</f>
        <v>1471.2865959745848</v>
      </c>
      <c r="G59" s="204">
        <f t="shared" si="75"/>
        <v>1471.2865959745848</v>
      </c>
      <c r="H59" s="204">
        <f t="shared" si="75"/>
        <v>1471.2865959745848</v>
      </c>
      <c r="I59" s="204">
        <f t="shared" si="75"/>
        <v>1471.2865959745848</v>
      </c>
      <c r="J59" s="204">
        <f t="shared" si="75"/>
        <v>1471.2865959745848</v>
      </c>
      <c r="K59" s="204">
        <f t="shared" si="75"/>
        <v>1471.2865959745848</v>
      </c>
      <c r="L59" s="204">
        <f t="shared" si="75"/>
        <v>1471.2865959745848</v>
      </c>
      <c r="M59" s="204">
        <f t="shared" si="75"/>
        <v>1471.2865959745848</v>
      </c>
      <c r="N59" s="204">
        <f t="shared" si="75"/>
        <v>1471.2865959745848</v>
      </c>
      <c r="O59" s="204">
        <f t="shared" si="75"/>
        <v>1471.2865959745848</v>
      </c>
      <c r="P59" s="204">
        <f t="shared" si="75"/>
        <v>1471.2865959745848</v>
      </c>
      <c r="Q59" s="204">
        <f t="shared" si="75"/>
        <v>1471.2865959745848</v>
      </c>
      <c r="R59" s="204">
        <f t="shared" si="75"/>
        <v>1471.2865959745848</v>
      </c>
      <c r="S59" s="204">
        <f t="shared" si="75"/>
        <v>1471.2865959745848</v>
      </c>
      <c r="T59" s="204">
        <f t="shared" si="75"/>
        <v>1471.2865959745848</v>
      </c>
      <c r="U59" s="204">
        <f t="shared" si="75"/>
        <v>1471.2865959745848</v>
      </c>
      <c r="V59" s="204">
        <f t="shared" si="75"/>
        <v>1471.2865959745848</v>
      </c>
      <c r="W59" s="204">
        <f t="shared" si="75"/>
        <v>1471.2865959745848</v>
      </c>
      <c r="X59" s="204">
        <f t="shared" si="75"/>
        <v>1471.2865959745848</v>
      </c>
      <c r="Y59" s="204">
        <f t="shared" si="75"/>
        <v>1471.2865959745848</v>
      </c>
      <c r="Z59" s="204">
        <f t="shared" si="75"/>
        <v>1471.2865959745848</v>
      </c>
      <c r="AA59" s="204">
        <f t="shared" si="75"/>
        <v>1471.2865959745848</v>
      </c>
      <c r="AB59" s="204">
        <f t="shared" si="75"/>
        <v>1471.2865959745848</v>
      </c>
      <c r="AC59" s="204">
        <f t="shared" si="75"/>
        <v>1471.2865959745848</v>
      </c>
      <c r="AD59" s="204">
        <f t="shared" si="75"/>
        <v>1471.2865959745848</v>
      </c>
      <c r="AE59" s="204">
        <f t="shared" si="75"/>
        <v>1471.2865959745848</v>
      </c>
      <c r="AF59" s="204">
        <f t="shared" si="75"/>
        <v>1539.8496522562652</v>
      </c>
      <c r="AG59" s="204">
        <f t="shared" si="75"/>
        <v>1608.4127085379457</v>
      </c>
      <c r="AH59" s="204">
        <f t="shared" si="75"/>
        <v>1676.975764819626</v>
      </c>
      <c r="AI59" s="204">
        <f t="shared" si="75"/>
        <v>1745.5388211013064</v>
      </c>
      <c r="AJ59" s="204">
        <f t="shared" si="75"/>
        <v>1814.1018773829869</v>
      </c>
      <c r="AK59" s="204">
        <f t="shared" si="75"/>
        <v>1882.6649336646674</v>
      </c>
      <c r="AL59" s="204">
        <f t="shared" ref="AL59:BQ59" si="76">IF(AL$22&lt;=$E$24,IF(AL$22&lt;=$D$24,IF(AL$22&lt;=$C$24,IF(AL$22&lt;=$B$24,IF(AL3=0,0,IF($B25+($B$24-AL$22)*AL42&lt;0,0,$B25+($B$24-AL$22)*AL42)),$B25+(AL$22-$B$24)*AL42),$C25+(AL$22-$C$24)*AL42),$D25+(AL$22-$D$24)*AL42),IF($E25+(AL$22-$E$24)*AL42&lt;0,0,$E25+(AL$22-$E$24)*AL42))</f>
        <v>1951.2279899463479</v>
      </c>
      <c r="AM59" s="204">
        <f t="shared" si="76"/>
        <v>2019.7910462280283</v>
      </c>
      <c r="AN59" s="204">
        <f t="shared" si="76"/>
        <v>2088.3541025097088</v>
      </c>
      <c r="AO59" s="204">
        <f t="shared" si="76"/>
        <v>2156.9171587913888</v>
      </c>
      <c r="AP59" s="204">
        <f t="shared" si="76"/>
        <v>2225.4802150730693</v>
      </c>
      <c r="AQ59" s="204">
        <f t="shared" si="76"/>
        <v>2294.0432713547498</v>
      </c>
      <c r="AR59" s="204">
        <f t="shared" si="76"/>
        <v>2362.6063276364303</v>
      </c>
      <c r="AS59" s="204">
        <f t="shared" si="76"/>
        <v>2431.1693839181107</v>
      </c>
      <c r="AT59" s="204">
        <f t="shared" si="76"/>
        <v>2499.7324401997912</v>
      </c>
      <c r="AU59" s="204">
        <f t="shared" si="76"/>
        <v>2568.2954964814717</v>
      </c>
      <c r="AV59" s="204">
        <f t="shared" si="76"/>
        <v>2636.8585527631521</v>
      </c>
      <c r="AW59" s="204">
        <f t="shared" si="76"/>
        <v>2705.4216090448326</v>
      </c>
      <c r="AX59" s="204">
        <f t="shared" si="76"/>
        <v>2773.9846653265131</v>
      </c>
      <c r="AY59" s="204">
        <f t="shared" si="76"/>
        <v>2842.5477216081936</v>
      </c>
      <c r="AZ59" s="204">
        <f t="shared" si="76"/>
        <v>2911.110777889874</v>
      </c>
      <c r="BA59" s="204">
        <f t="shared" si="76"/>
        <v>2979.6738341715545</v>
      </c>
      <c r="BB59" s="204">
        <f t="shared" si="76"/>
        <v>3048.236890453235</v>
      </c>
      <c r="BC59" s="204">
        <f t="shared" si="76"/>
        <v>3116.7999467349155</v>
      </c>
      <c r="BD59" s="204">
        <f t="shared" si="76"/>
        <v>3185.3630030165955</v>
      </c>
      <c r="BE59" s="204">
        <f t="shared" si="76"/>
        <v>3253.926059298276</v>
      </c>
      <c r="BF59" s="204">
        <f t="shared" si="76"/>
        <v>3322.4891155799564</v>
      </c>
      <c r="BG59" s="204">
        <f t="shared" si="76"/>
        <v>3391.0521718616369</v>
      </c>
      <c r="BH59" s="204">
        <f t="shared" si="76"/>
        <v>3459.6152281433174</v>
      </c>
      <c r="BI59" s="204">
        <f t="shared" si="76"/>
        <v>3528.1782844249974</v>
      </c>
      <c r="BJ59" s="204">
        <f t="shared" si="76"/>
        <v>3596.7413407066779</v>
      </c>
      <c r="BK59" s="204">
        <f t="shared" si="76"/>
        <v>3665.3043969883583</v>
      </c>
      <c r="BL59" s="204">
        <f t="shared" si="76"/>
        <v>3733.8674532700388</v>
      </c>
      <c r="BM59" s="204">
        <f t="shared" si="76"/>
        <v>3802.4305095517193</v>
      </c>
      <c r="BN59" s="204">
        <f t="shared" si="76"/>
        <v>3870.9935658333998</v>
      </c>
      <c r="BO59" s="204">
        <f t="shared" si="76"/>
        <v>3939.5566221150802</v>
      </c>
      <c r="BP59" s="204">
        <f t="shared" si="76"/>
        <v>4008.1196783967607</v>
      </c>
      <c r="BQ59" s="204">
        <f t="shared" si="76"/>
        <v>4034.5007081309027</v>
      </c>
      <c r="BR59" s="204">
        <f t="shared" ref="BR59:DA59" si="77">IF(BR$22&lt;=$E$24,IF(BR$22&lt;=$D$24,IF(BR$22&lt;=$C$24,IF(BR$22&lt;=$B$24,IF(BR3=0,0,IF($B25+($B$24-BR$22)*BR42&lt;0,0,$B25+($B$24-BR$22)*BR42)),$B25+(BR$22-$B$24)*BR42),$C25+(BR$22-$C$24)*BR42),$D25+(BR$22-$D$24)*BR42),IF($E25+(BR$22-$E$24)*BR42&lt;0,0,$E25+(BR$22-$E$24)*BR42))</f>
        <v>4018.6997113175066</v>
      </c>
      <c r="BS59" s="204">
        <f t="shared" si="77"/>
        <v>4002.8987145041106</v>
      </c>
      <c r="BT59" s="204">
        <f t="shared" si="77"/>
        <v>3987.097717690714</v>
      </c>
      <c r="BU59" s="204">
        <f t="shared" si="77"/>
        <v>3971.296720877318</v>
      </c>
      <c r="BV59" s="204">
        <f t="shared" si="77"/>
        <v>3955.4957240639219</v>
      </c>
      <c r="BW59" s="204">
        <f t="shared" si="77"/>
        <v>3939.6947272505254</v>
      </c>
      <c r="BX59" s="204">
        <f t="shared" si="77"/>
        <v>3923.8937304371293</v>
      </c>
      <c r="BY59" s="204">
        <f t="shared" si="77"/>
        <v>3908.0927336237328</v>
      </c>
      <c r="BZ59" s="204">
        <f t="shared" si="77"/>
        <v>3892.2917368103367</v>
      </c>
      <c r="CA59" s="204">
        <f t="shared" si="77"/>
        <v>3876.4907399969406</v>
      </c>
      <c r="CB59" s="204">
        <f t="shared" si="77"/>
        <v>3860.6897431835441</v>
      </c>
      <c r="CC59" s="204">
        <f t="shared" si="77"/>
        <v>3844.8887463701481</v>
      </c>
      <c r="CD59" s="204">
        <f t="shared" si="77"/>
        <v>3829.087749556752</v>
      </c>
      <c r="CE59" s="204">
        <f t="shared" si="77"/>
        <v>3813.2867527433555</v>
      </c>
      <c r="CF59" s="204">
        <f t="shared" si="77"/>
        <v>3797.4857559299594</v>
      </c>
      <c r="CG59" s="204">
        <f t="shared" si="77"/>
        <v>3781.6847591165633</v>
      </c>
      <c r="CH59" s="204">
        <f t="shared" si="77"/>
        <v>3765.8837623031668</v>
      </c>
      <c r="CI59" s="204">
        <f t="shared" si="77"/>
        <v>3750.0827654897707</v>
      </c>
      <c r="CJ59" s="204">
        <f t="shared" si="77"/>
        <v>3734.2817686763747</v>
      </c>
      <c r="CK59" s="204">
        <f t="shared" si="77"/>
        <v>3681.7197404896783</v>
      </c>
      <c r="CL59" s="204">
        <f t="shared" si="77"/>
        <v>3592.3966809296817</v>
      </c>
      <c r="CM59" s="204">
        <f t="shared" si="77"/>
        <v>3503.0736213696855</v>
      </c>
      <c r="CN59" s="204">
        <f t="shared" si="77"/>
        <v>3413.7505618096893</v>
      </c>
      <c r="CO59" s="204">
        <f t="shared" si="77"/>
        <v>3324.4275022496931</v>
      </c>
      <c r="CP59" s="204">
        <f t="shared" si="77"/>
        <v>3235.1044426896965</v>
      </c>
      <c r="CQ59" s="204">
        <f t="shared" si="77"/>
        <v>3145.7813831297003</v>
      </c>
      <c r="CR59" s="204">
        <f t="shared" si="77"/>
        <v>3056.4583235697041</v>
      </c>
      <c r="CS59" s="204">
        <f t="shared" si="77"/>
        <v>2967.1352640097075</v>
      </c>
      <c r="CT59" s="204">
        <f t="shared" si="77"/>
        <v>2877.8122044497113</v>
      </c>
      <c r="CU59" s="204">
        <f t="shared" si="77"/>
        <v>2788.4891448897151</v>
      </c>
      <c r="CV59" s="204">
        <f t="shared" si="77"/>
        <v>2699.166085329719</v>
      </c>
      <c r="CW59" s="204">
        <f t="shared" si="77"/>
        <v>2609.8430257697223</v>
      </c>
      <c r="CX59" s="204">
        <f t="shared" si="77"/>
        <v>2716.2030257697224</v>
      </c>
      <c r="CY59" s="204">
        <f t="shared" si="77"/>
        <v>2822.5630257697226</v>
      </c>
      <c r="CZ59" s="204">
        <f t="shared" si="77"/>
        <v>2928.9230257697227</v>
      </c>
      <c r="DA59" s="204">
        <f t="shared" si="77"/>
        <v>3035.2830257697224</v>
      </c>
    </row>
    <row r="60" spans="1:105" s="204" customFormat="1">
      <c r="A60" s="204" t="str">
        <f>Income!A73</f>
        <v>Own crops sold</v>
      </c>
      <c r="F60" s="204">
        <f t="shared" ref="F60:AK60" si="78">IF(F$22&lt;=$E$24,IF(F$22&lt;=$D$24,IF(F$22&lt;=$C$24,IF(F$22&lt;=$B$24,IF(F4=0,0,IF($B26+($B$24-F$22)*F43&lt;0,0,$B26+($B$24-F$22)*F43)),$B26+(F$22-$B$24)*F43),$C26+(F$22-$C$24)*F43),$D26+(F$22-$D$24)*F43),IF($E26+(F$22-$E$24)*F43&lt;0,0,$E26+(F$22-$E$24)*F43))</f>
        <v>0</v>
      </c>
      <c r="G60" s="204">
        <f t="shared" si="78"/>
        <v>0</v>
      </c>
      <c r="H60" s="204">
        <f t="shared" si="78"/>
        <v>0</v>
      </c>
      <c r="I60" s="204">
        <f t="shared" si="78"/>
        <v>0</v>
      </c>
      <c r="J60" s="204">
        <f t="shared" si="78"/>
        <v>0</v>
      </c>
      <c r="K60" s="204">
        <f t="shared" si="78"/>
        <v>0</v>
      </c>
      <c r="L60" s="204">
        <f t="shared" si="78"/>
        <v>0</v>
      </c>
      <c r="M60" s="204">
        <f t="shared" si="78"/>
        <v>0</v>
      </c>
      <c r="N60" s="204">
        <f t="shared" si="78"/>
        <v>0</v>
      </c>
      <c r="O60" s="204">
        <f t="shared" si="78"/>
        <v>0</v>
      </c>
      <c r="P60" s="204">
        <f t="shared" si="78"/>
        <v>0</v>
      </c>
      <c r="Q60" s="204">
        <f t="shared" si="78"/>
        <v>0</v>
      </c>
      <c r="R60" s="204">
        <f t="shared" si="78"/>
        <v>0</v>
      </c>
      <c r="S60" s="204">
        <f t="shared" si="78"/>
        <v>0</v>
      </c>
      <c r="T60" s="204">
        <f t="shared" si="78"/>
        <v>0</v>
      </c>
      <c r="U60" s="204">
        <f t="shared" si="78"/>
        <v>0</v>
      </c>
      <c r="V60" s="204">
        <f t="shared" si="78"/>
        <v>0</v>
      </c>
      <c r="W60" s="204">
        <f t="shared" si="78"/>
        <v>0</v>
      </c>
      <c r="X60" s="204">
        <f t="shared" si="78"/>
        <v>0</v>
      </c>
      <c r="Y60" s="204">
        <f t="shared" si="78"/>
        <v>0</v>
      </c>
      <c r="Z60" s="204">
        <f t="shared" si="78"/>
        <v>0</v>
      </c>
      <c r="AA60" s="204">
        <f t="shared" si="78"/>
        <v>0</v>
      </c>
      <c r="AB60" s="204">
        <f t="shared" si="78"/>
        <v>0</v>
      </c>
      <c r="AC60" s="204">
        <f t="shared" si="78"/>
        <v>0</v>
      </c>
      <c r="AD60" s="204">
        <f t="shared" si="78"/>
        <v>0</v>
      </c>
      <c r="AE60" s="204">
        <f t="shared" si="78"/>
        <v>0</v>
      </c>
      <c r="AF60" s="204">
        <f t="shared" si="78"/>
        <v>66.170849341169458</v>
      </c>
      <c r="AG60" s="204">
        <f t="shared" si="78"/>
        <v>132.34169868233892</v>
      </c>
      <c r="AH60" s="204">
        <f t="shared" si="78"/>
        <v>198.51254802350837</v>
      </c>
      <c r="AI60" s="204">
        <f t="shared" si="78"/>
        <v>264.68339736467783</v>
      </c>
      <c r="AJ60" s="204">
        <f t="shared" si="78"/>
        <v>330.85424670584729</v>
      </c>
      <c r="AK60" s="204">
        <f t="shared" si="78"/>
        <v>397.02509604701675</v>
      </c>
      <c r="AL60" s="204">
        <f t="shared" ref="AL60:BQ60" si="79">IF(AL$22&lt;=$E$24,IF(AL$22&lt;=$D$24,IF(AL$22&lt;=$C$24,IF(AL$22&lt;=$B$24,IF(AL4=0,0,IF($B26+($B$24-AL$22)*AL43&lt;0,0,$B26+($B$24-AL$22)*AL43)),$B26+(AL$22-$B$24)*AL43),$C26+(AL$22-$C$24)*AL43),$D26+(AL$22-$D$24)*AL43),IF($E26+(AL$22-$E$24)*AL43&lt;0,0,$E26+(AL$22-$E$24)*AL43))</f>
        <v>463.1959453881862</v>
      </c>
      <c r="AM60" s="204">
        <f t="shared" si="79"/>
        <v>529.36679472935566</v>
      </c>
      <c r="AN60" s="204">
        <f t="shared" si="79"/>
        <v>595.53764407052518</v>
      </c>
      <c r="AO60" s="204">
        <f t="shared" si="79"/>
        <v>661.70849341169458</v>
      </c>
      <c r="AP60" s="204">
        <f t="shared" si="79"/>
        <v>727.87934275286398</v>
      </c>
      <c r="AQ60" s="204">
        <f t="shared" si="79"/>
        <v>794.05019209403349</v>
      </c>
      <c r="AR60" s="204">
        <f t="shared" si="79"/>
        <v>860.22104143520301</v>
      </c>
      <c r="AS60" s="204">
        <f t="shared" si="79"/>
        <v>926.39189077637241</v>
      </c>
      <c r="AT60" s="204">
        <f t="shared" si="79"/>
        <v>992.56274011754181</v>
      </c>
      <c r="AU60" s="204">
        <f t="shared" si="79"/>
        <v>1058.7335894587113</v>
      </c>
      <c r="AV60" s="204">
        <f t="shared" si="79"/>
        <v>1124.9044387998808</v>
      </c>
      <c r="AW60" s="204">
        <f t="shared" si="79"/>
        <v>1191.0752881410504</v>
      </c>
      <c r="AX60" s="204">
        <f t="shared" si="79"/>
        <v>1257.2461374822196</v>
      </c>
      <c r="AY60" s="204">
        <f t="shared" si="79"/>
        <v>1323.4169868233892</v>
      </c>
      <c r="AZ60" s="204">
        <f t="shared" si="79"/>
        <v>1389.5878361645587</v>
      </c>
      <c r="BA60" s="204">
        <f t="shared" si="79"/>
        <v>1455.758685505728</v>
      </c>
      <c r="BB60" s="204">
        <f t="shared" si="79"/>
        <v>1521.9295348468975</v>
      </c>
      <c r="BC60" s="204">
        <f t="shared" si="79"/>
        <v>1588.100384188067</v>
      </c>
      <c r="BD60" s="204">
        <f t="shared" si="79"/>
        <v>1654.2712335292365</v>
      </c>
      <c r="BE60" s="204">
        <f t="shared" si="79"/>
        <v>1720.442082870406</v>
      </c>
      <c r="BF60" s="204">
        <f t="shared" si="79"/>
        <v>1786.6129322115753</v>
      </c>
      <c r="BG60" s="204">
        <f t="shared" si="79"/>
        <v>1852.7837815527448</v>
      </c>
      <c r="BH60" s="204">
        <f t="shared" si="79"/>
        <v>1918.9546308939143</v>
      </c>
      <c r="BI60" s="204">
        <f t="shared" si="79"/>
        <v>1985.1254802350836</v>
      </c>
      <c r="BJ60" s="204">
        <f t="shared" si="79"/>
        <v>2051.2963295762534</v>
      </c>
      <c r="BK60" s="204">
        <f t="shared" si="79"/>
        <v>2117.4671789174226</v>
      </c>
      <c r="BL60" s="204">
        <f t="shared" si="79"/>
        <v>2183.6380282585919</v>
      </c>
      <c r="BM60" s="204">
        <f t="shared" si="79"/>
        <v>2249.8088775997617</v>
      </c>
      <c r="BN60" s="204">
        <f t="shared" si="79"/>
        <v>2315.979726940931</v>
      </c>
      <c r="BO60" s="204">
        <f t="shared" si="79"/>
        <v>2382.1505762821007</v>
      </c>
      <c r="BP60" s="204">
        <f t="shared" si="79"/>
        <v>2448.32142562327</v>
      </c>
      <c r="BQ60" s="204">
        <f t="shared" si="79"/>
        <v>3365.3813474359727</v>
      </c>
      <c r="BR60" s="204">
        <f t="shared" ref="BR60:CZ60" si="80">IF(BR$22&lt;=$E$24,IF(BR$22&lt;=$D$24,IF(BR$22&lt;=$C$24,IF(BR$22&lt;=$B$24,IF(BR4=0,0,IF($B26+($B$24-BR$22)*BR43&lt;0,0,$B26+($B$24-BR$22)*BR43)),$B26+(BR$22-$B$24)*BR43),$C26+(BR$22-$C$24)*BR43),$D26+(BR$22-$D$24)*BR43),IF($E26+(BR$22-$E$24)*BR43&lt;0,0,$E26+(BR$22-$E$24)*BR43))</f>
        <v>5133.3303417202087</v>
      </c>
      <c r="BS60" s="204">
        <f t="shared" si="80"/>
        <v>6901.2793360044452</v>
      </c>
      <c r="BT60" s="204">
        <f t="shared" si="80"/>
        <v>8669.2283302886826</v>
      </c>
      <c r="BU60" s="204">
        <f t="shared" si="80"/>
        <v>10437.177324572916</v>
      </c>
      <c r="BV60" s="204">
        <f t="shared" si="80"/>
        <v>12205.126318857154</v>
      </c>
      <c r="BW60" s="204">
        <f t="shared" si="80"/>
        <v>13973.075313141391</v>
      </c>
      <c r="BX60" s="204">
        <f t="shared" si="80"/>
        <v>15741.024307425625</v>
      </c>
      <c r="BY60" s="204">
        <f t="shared" si="80"/>
        <v>17508.973301709862</v>
      </c>
      <c r="BZ60" s="204">
        <f t="shared" si="80"/>
        <v>19276.9222959941</v>
      </c>
      <c r="CA60" s="204">
        <f t="shared" si="80"/>
        <v>21044.871290278334</v>
      </c>
      <c r="CB60" s="204">
        <f t="shared" si="80"/>
        <v>22812.820284562571</v>
      </c>
      <c r="CC60" s="204">
        <f t="shared" si="80"/>
        <v>24580.769278846808</v>
      </c>
      <c r="CD60" s="204">
        <f t="shared" si="80"/>
        <v>26348.718273131042</v>
      </c>
      <c r="CE60" s="204">
        <f t="shared" si="80"/>
        <v>28116.66726741528</v>
      </c>
      <c r="CF60" s="204">
        <f t="shared" si="80"/>
        <v>29884.616261699517</v>
      </c>
      <c r="CG60" s="204">
        <f t="shared" si="80"/>
        <v>31652.565255983751</v>
      </c>
      <c r="CH60" s="204">
        <f t="shared" si="80"/>
        <v>33420.514250267988</v>
      </c>
      <c r="CI60" s="204">
        <f t="shared" si="80"/>
        <v>35188.463244552229</v>
      </c>
      <c r="CJ60" s="204">
        <f t="shared" si="80"/>
        <v>36956.412238836463</v>
      </c>
      <c r="CK60" s="204">
        <f t="shared" si="80"/>
        <v>36926.614002012881</v>
      </c>
      <c r="CL60" s="204">
        <f t="shared" si="80"/>
        <v>35099.068534081482</v>
      </c>
      <c r="CM60" s="204">
        <f t="shared" si="80"/>
        <v>33271.52306615009</v>
      </c>
      <c r="CN60" s="204">
        <f t="shared" si="80"/>
        <v>31443.977598218691</v>
      </c>
      <c r="CO60" s="204">
        <f t="shared" si="80"/>
        <v>29616.432130287292</v>
      </c>
      <c r="CP60" s="204">
        <f t="shared" si="80"/>
        <v>27788.886662355897</v>
      </c>
      <c r="CQ60" s="204">
        <f t="shared" si="80"/>
        <v>25961.341194424498</v>
      </c>
      <c r="CR60" s="204">
        <f t="shared" si="80"/>
        <v>24133.795726493103</v>
      </c>
      <c r="CS60" s="204">
        <f t="shared" si="80"/>
        <v>22306.250258561704</v>
      </c>
      <c r="CT60" s="204">
        <f t="shared" si="80"/>
        <v>20478.704790630309</v>
      </c>
      <c r="CU60" s="204">
        <f t="shared" si="80"/>
        <v>18651.15932269891</v>
      </c>
      <c r="CV60" s="204">
        <f t="shared" si="80"/>
        <v>16823.613854767515</v>
      </c>
      <c r="CW60" s="204">
        <f t="shared" si="80"/>
        <v>14996.068386836116</v>
      </c>
      <c r="CX60" s="204">
        <f t="shared" si="80"/>
        <v>15720.928386836114</v>
      </c>
      <c r="CY60" s="204">
        <f t="shared" si="80"/>
        <v>16445.788386836113</v>
      </c>
      <c r="CZ60" s="204">
        <f t="shared" si="80"/>
        <v>17170.648386836114</v>
      </c>
      <c r="DA60" s="204">
        <f>IF(DA$22&lt;=$E$24,IF(DA$22&lt;=$D$24,IF(DA$22&lt;=$C$24,IF(DA$22&lt;=$B$24,IF(DA4=0,0,IF($B26+($B$24-DA$22)*DA43&lt;0,0,$B26+($B$24-DA$22)*DA43)),$B26+(DA$22-$B$24)*DA43),$C26+(DA$22-$C$24)*DA43),$D26+(DA$22-$D$24)*DA43),IF($E26+(DA$22-$E$24)*DA43&lt;0,0,$E26+(DA$22-$E$24)*DA43))</f>
        <v>17895.508386836114</v>
      </c>
    </row>
    <row r="61" spans="1:105" s="204" customFormat="1">
      <c r="A61" s="204" t="str">
        <f>Income!A74</f>
        <v>Animal products consumed</v>
      </c>
      <c r="F61" s="204">
        <f t="shared" ref="F61:AK61" si="81">IF(F$22&lt;=$E$24,IF(F$22&lt;=$D$24,IF(F$22&lt;=$C$24,IF(F$22&lt;=$B$24,IF(F5=0,0,IF($B27+($B$24-F$22)*F44&lt;0,0,$B27+($B$24-F$22)*F44)),$B27+(F$22-$B$24)*F44),$C27+(F$22-$C$24)*F44),$D27+(F$22-$D$24)*F44),IF($E27+(F$22-$E$24)*F44&lt;0,0,$E27+(F$22-$E$24)*F44))</f>
        <v>178.16053949785783</v>
      </c>
      <c r="G61" s="204">
        <f t="shared" si="81"/>
        <v>178.16053949785783</v>
      </c>
      <c r="H61" s="204">
        <f t="shared" si="81"/>
        <v>178.16053949785783</v>
      </c>
      <c r="I61" s="204">
        <f t="shared" si="81"/>
        <v>178.16053949785783</v>
      </c>
      <c r="J61" s="204">
        <f t="shared" si="81"/>
        <v>178.16053949785783</v>
      </c>
      <c r="K61" s="204">
        <f t="shared" si="81"/>
        <v>178.16053949785783</v>
      </c>
      <c r="L61" s="204">
        <f t="shared" si="81"/>
        <v>178.16053949785783</v>
      </c>
      <c r="M61" s="204">
        <f t="shared" si="81"/>
        <v>178.16053949785783</v>
      </c>
      <c r="N61" s="204">
        <f t="shared" si="81"/>
        <v>178.16053949785783</v>
      </c>
      <c r="O61" s="204">
        <f t="shared" si="81"/>
        <v>178.16053949785783</v>
      </c>
      <c r="P61" s="204">
        <f t="shared" si="81"/>
        <v>178.16053949785783</v>
      </c>
      <c r="Q61" s="204">
        <f t="shared" si="81"/>
        <v>178.16053949785783</v>
      </c>
      <c r="R61" s="204">
        <f t="shared" si="81"/>
        <v>178.16053949785783</v>
      </c>
      <c r="S61" s="204">
        <f t="shared" si="81"/>
        <v>178.16053949785783</v>
      </c>
      <c r="T61" s="204">
        <f t="shared" si="81"/>
        <v>178.16053949785783</v>
      </c>
      <c r="U61" s="204">
        <f t="shared" si="81"/>
        <v>178.16053949785783</v>
      </c>
      <c r="V61" s="204">
        <f t="shared" si="81"/>
        <v>178.16053949785783</v>
      </c>
      <c r="W61" s="204">
        <f t="shared" si="81"/>
        <v>178.16053949785783</v>
      </c>
      <c r="X61" s="204">
        <f t="shared" si="81"/>
        <v>178.16053949785783</v>
      </c>
      <c r="Y61" s="204">
        <f t="shared" si="81"/>
        <v>178.16053949785783</v>
      </c>
      <c r="Z61" s="204">
        <f t="shared" si="81"/>
        <v>178.16053949785783</v>
      </c>
      <c r="AA61" s="204">
        <f t="shared" si="81"/>
        <v>178.16053949785783</v>
      </c>
      <c r="AB61" s="204">
        <f t="shared" si="81"/>
        <v>178.16053949785783</v>
      </c>
      <c r="AC61" s="204">
        <f t="shared" si="81"/>
        <v>178.16053949785783</v>
      </c>
      <c r="AD61" s="204">
        <f t="shared" si="81"/>
        <v>178.16053949785783</v>
      </c>
      <c r="AE61" s="204">
        <f t="shared" si="81"/>
        <v>178.16053949785783</v>
      </c>
      <c r="AF61" s="204">
        <f t="shared" si="81"/>
        <v>196.14826681010607</v>
      </c>
      <c r="AG61" s="204">
        <f t="shared" si="81"/>
        <v>214.1359941223543</v>
      </c>
      <c r="AH61" s="204">
        <f t="shared" si="81"/>
        <v>232.12372143460254</v>
      </c>
      <c r="AI61" s="204">
        <f t="shared" si="81"/>
        <v>250.11144874685078</v>
      </c>
      <c r="AJ61" s="204">
        <f t="shared" si="81"/>
        <v>268.09917605909902</v>
      </c>
      <c r="AK61" s="204">
        <f t="shared" si="81"/>
        <v>286.08690337134726</v>
      </c>
      <c r="AL61" s="204">
        <f t="shared" ref="AL61:BQ61" si="82">IF(AL$22&lt;=$E$24,IF(AL$22&lt;=$D$24,IF(AL$22&lt;=$C$24,IF(AL$22&lt;=$B$24,IF(AL5=0,0,IF($B27+($B$24-AL$22)*AL44&lt;0,0,$B27+($B$24-AL$22)*AL44)),$B27+(AL$22-$B$24)*AL44),$C27+(AL$22-$C$24)*AL44),$D27+(AL$22-$D$24)*AL44),IF($E27+(AL$22-$E$24)*AL44&lt;0,0,$E27+(AL$22-$E$24)*AL44))</f>
        <v>304.0746306835955</v>
      </c>
      <c r="AM61" s="204">
        <f t="shared" si="82"/>
        <v>322.06235799584374</v>
      </c>
      <c r="AN61" s="204">
        <f t="shared" si="82"/>
        <v>340.05008530809198</v>
      </c>
      <c r="AO61" s="204">
        <f t="shared" si="82"/>
        <v>358.03781262034022</v>
      </c>
      <c r="AP61" s="204">
        <f t="shared" si="82"/>
        <v>376.02553993258846</v>
      </c>
      <c r="AQ61" s="204">
        <f t="shared" si="82"/>
        <v>394.01326724483675</v>
      </c>
      <c r="AR61" s="204">
        <f t="shared" si="82"/>
        <v>412.00099455708499</v>
      </c>
      <c r="AS61" s="204">
        <f t="shared" si="82"/>
        <v>429.98872186933323</v>
      </c>
      <c r="AT61" s="204">
        <f t="shared" si="82"/>
        <v>447.97644918158147</v>
      </c>
      <c r="AU61" s="204">
        <f t="shared" si="82"/>
        <v>465.96417649382971</v>
      </c>
      <c r="AV61" s="204">
        <f t="shared" si="82"/>
        <v>483.95190380607795</v>
      </c>
      <c r="AW61" s="204">
        <f t="shared" si="82"/>
        <v>501.93963111832619</v>
      </c>
      <c r="AX61" s="204">
        <f t="shared" si="82"/>
        <v>519.92735843057449</v>
      </c>
      <c r="AY61" s="204">
        <f t="shared" si="82"/>
        <v>537.91508574282261</v>
      </c>
      <c r="AZ61" s="204">
        <f t="shared" si="82"/>
        <v>555.90281305507096</v>
      </c>
      <c r="BA61" s="204">
        <f t="shared" si="82"/>
        <v>573.89054036731909</v>
      </c>
      <c r="BB61" s="204">
        <f t="shared" si="82"/>
        <v>591.87826767956744</v>
      </c>
      <c r="BC61" s="204">
        <f t="shared" si="82"/>
        <v>609.86599499181568</v>
      </c>
      <c r="BD61" s="204">
        <f t="shared" si="82"/>
        <v>627.85372230406392</v>
      </c>
      <c r="BE61" s="204">
        <f t="shared" si="82"/>
        <v>645.84144961631216</v>
      </c>
      <c r="BF61" s="204">
        <f t="shared" si="82"/>
        <v>663.8291769285604</v>
      </c>
      <c r="BG61" s="204">
        <f t="shared" si="82"/>
        <v>681.81690424080864</v>
      </c>
      <c r="BH61" s="204">
        <f t="shared" si="82"/>
        <v>699.80463155305688</v>
      </c>
      <c r="BI61" s="204">
        <f t="shared" si="82"/>
        <v>717.79235886530512</v>
      </c>
      <c r="BJ61" s="204">
        <f t="shared" si="82"/>
        <v>735.78008617755336</v>
      </c>
      <c r="BK61" s="204">
        <f t="shared" si="82"/>
        <v>753.7678134898016</v>
      </c>
      <c r="BL61" s="204">
        <f t="shared" si="82"/>
        <v>771.75554080204984</v>
      </c>
      <c r="BM61" s="204">
        <f t="shared" si="82"/>
        <v>789.74326811429808</v>
      </c>
      <c r="BN61" s="204">
        <f t="shared" si="82"/>
        <v>807.73099542654631</v>
      </c>
      <c r="BO61" s="204">
        <f t="shared" si="82"/>
        <v>825.71872273879455</v>
      </c>
      <c r="BP61" s="204">
        <f t="shared" si="82"/>
        <v>843.70645005104279</v>
      </c>
      <c r="BQ61" s="204">
        <f t="shared" si="82"/>
        <v>893.28210317286221</v>
      </c>
      <c r="BR61" s="204">
        <f t="shared" ref="BR61:DA61" si="83">IF(BR$22&lt;=$E$24,IF(BR$22&lt;=$D$24,IF(BR$22&lt;=$C$24,IF(BR$22&lt;=$B$24,IF(BR5=0,0,IF($B27+($B$24-BR$22)*BR44&lt;0,0,$B27+($B$24-BR$22)*BR44)),$B27+(BR$22-$B$24)*BR44),$C27+(BR$22-$C$24)*BR44),$D27+(BR$22-$D$24)*BR44),IF($E27+(BR$22-$E$24)*BR44&lt;0,0,$E27+(BR$22-$E$24)*BR44))</f>
        <v>974.44568210425291</v>
      </c>
      <c r="BS61" s="204">
        <f t="shared" si="83"/>
        <v>1055.6092610356434</v>
      </c>
      <c r="BT61" s="204">
        <f t="shared" si="83"/>
        <v>1136.7728399670341</v>
      </c>
      <c r="BU61" s="204">
        <f t="shared" si="83"/>
        <v>1217.9364188984246</v>
      </c>
      <c r="BV61" s="204">
        <f t="shared" si="83"/>
        <v>1299.0999978298153</v>
      </c>
      <c r="BW61" s="204">
        <f t="shared" si="83"/>
        <v>1380.2635767612057</v>
      </c>
      <c r="BX61" s="204">
        <f t="shared" si="83"/>
        <v>1461.4271556925964</v>
      </c>
      <c r="BY61" s="204">
        <f t="shared" si="83"/>
        <v>1542.5907346239869</v>
      </c>
      <c r="BZ61" s="204">
        <f t="shared" si="83"/>
        <v>1623.7543135553776</v>
      </c>
      <c r="CA61" s="204">
        <f t="shared" si="83"/>
        <v>1704.9178924867681</v>
      </c>
      <c r="CB61" s="204">
        <f t="shared" si="83"/>
        <v>1786.0814714181588</v>
      </c>
      <c r="CC61" s="204">
        <f t="shared" si="83"/>
        <v>1867.2450503495493</v>
      </c>
      <c r="CD61" s="204">
        <f t="shared" si="83"/>
        <v>1948.40862928094</v>
      </c>
      <c r="CE61" s="204">
        <f t="shared" si="83"/>
        <v>2029.5722082123305</v>
      </c>
      <c r="CF61" s="204">
        <f t="shared" si="83"/>
        <v>2110.7357871437212</v>
      </c>
      <c r="CG61" s="204">
        <f t="shared" si="83"/>
        <v>2191.8993660751116</v>
      </c>
      <c r="CH61" s="204">
        <f t="shared" si="83"/>
        <v>2273.0629450065026</v>
      </c>
      <c r="CI61" s="204">
        <f t="shared" si="83"/>
        <v>2354.226523937893</v>
      </c>
      <c r="CJ61" s="204">
        <f t="shared" si="83"/>
        <v>2435.3901028692835</v>
      </c>
      <c r="CK61" s="204">
        <f t="shared" si="83"/>
        <v>2498.4443483560972</v>
      </c>
      <c r="CL61" s="204">
        <f t="shared" si="83"/>
        <v>2543.3892603983345</v>
      </c>
      <c r="CM61" s="204">
        <f t="shared" si="83"/>
        <v>2588.3341724405718</v>
      </c>
      <c r="CN61" s="204">
        <f t="shared" si="83"/>
        <v>2633.2790844828087</v>
      </c>
      <c r="CO61" s="204">
        <f t="shared" si="83"/>
        <v>2678.223996525046</v>
      </c>
      <c r="CP61" s="204">
        <f t="shared" si="83"/>
        <v>2723.1689085672833</v>
      </c>
      <c r="CQ61" s="204">
        <f t="shared" si="83"/>
        <v>2768.1138206095206</v>
      </c>
      <c r="CR61" s="204">
        <f t="shared" si="83"/>
        <v>2813.0587326517575</v>
      </c>
      <c r="CS61" s="204">
        <f t="shared" si="83"/>
        <v>2858.0036446939948</v>
      </c>
      <c r="CT61" s="204">
        <f t="shared" si="83"/>
        <v>2902.9485567362321</v>
      </c>
      <c r="CU61" s="204">
        <f t="shared" si="83"/>
        <v>2947.8934687784695</v>
      </c>
      <c r="CV61" s="204">
        <f t="shared" si="83"/>
        <v>2992.8383808207063</v>
      </c>
      <c r="CW61" s="204">
        <f t="shared" si="83"/>
        <v>3037.7832928629437</v>
      </c>
      <c r="CX61" s="204">
        <f t="shared" si="83"/>
        <v>3046.2142928629437</v>
      </c>
      <c r="CY61" s="204">
        <f t="shared" si="83"/>
        <v>3054.6452928629437</v>
      </c>
      <c r="CZ61" s="204">
        <f t="shared" si="83"/>
        <v>3063.0762928629438</v>
      </c>
      <c r="DA61" s="204">
        <f t="shared" si="83"/>
        <v>3071.5072928629438</v>
      </c>
    </row>
    <row r="62" spans="1:105" s="204" customFormat="1">
      <c r="A62" s="204" t="str">
        <f>Income!A75</f>
        <v>Animal products sold</v>
      </c>
      <c r="F62" s="204">
        <f t="shared" ref="F62:AK62" si="84">IF(F$22&lt;=$E$24,IF(F$22&lt;=$D$24,IF(F$22&lt;=$C$24,IF(F$22&lt;=$B$24,IF(F6=0,0,IF($B28+($B$24-F$22)*F45&lt;0,0,$B28+($B$24-F$22)*F45)),$B28+(F$22-$B$24)*F45),$C28+(F$22-$C$24)*F45),$D28+(F$22-$D$24)*F45),IF($E28+(F$22-$E$24)*F45&lt;0,0,$E28+(F$22-$E$24)*F45))</f>
        <v>0</v>
      </c>
      <c r="G62" s="204">
        <f t="shared" si="84"/>
        <v>0</v>
      </c>
      <c r="H62" s="204">
        <f t="shared" si="84"/>
        <v>0</v>
      </c>
      <c r="I62" s="204">
        <f t="shared" si="84"/>
        <v>0</v>
      </c>
      <c r="J62" s="204">
        <f t="shared" si="84"/>
        <v>0</v>
      </c>
      <c r="K62" s="204">
        <f t="shared" si="84"/>
        <v>0</v>
      </c>
      <c r="L62" s="204">
        <f t="shared" si="84"/>
        <v>0</v>
      </c>
      <c r="M62" s="204">
        <f t="shared" si="84"/>
        <v>0</v>
      </c>
      <c r="N62" s="204">
        <f t="shared" si="84"/>
        <v>0</v>
      </c>
      <c r="O62" s="204">
        <f t="shared" si="84"/>
        <v>0</v>
      </c>
      <c r="P62" s="204">
        <f t="shared" si="84"/>
        <v>0</v>
      </c>
      <c r="Q62" s="204">
        <f t="shared" si="84"/>
        <v>0</v>
      </c>
      <c r="R62" s="204">
        <f t="shared" si="84"/>
        <v>0</v>
      </c>
      <c r="S62" s="204">
        <f t="shared" si="84"/>
        <v>0</v>
      </c>
      <c r="T62" s="204">
        <f t="shared" si="84"/>
        <v>0</v>
      </c>
      <c r="U62" s="204">
        <f t="shared" si="84"/>
        <v>0</v>
      </c>
      <c r="V62" s="204">
        <f t="shared" si="84"/>
        <v>0</v>
      </c>
      <c r="W62" s="204">
        <f t="shared" si="84"/>
        <v>0</v>
      </c>
      <c r="X62" s="204">
        <f t="shared" si="84"/>
        <v>0</v>
      </c>
      <c r="Y62" s="204">
        <f t="shared" si="84"/>
        <v>0</v>
      </c>
      <c r="Z62" s="204">
        <f t="shared" si="84"/>
        <v>0</v>
      </c>
      <c r="AA62" s="204">
        <f t="shared" si="84"/>
        <v>0</v>
      </c>
      <c r="AB62" s="204">
        <f t="shared" si="84"/>
        <v>0</v>
      </c>
      <c r="AC62" s="204">
        <f t="shared" si="84"/>
        <v>0</v>
      </c>
      <c r="AD62" s="204">
        <f t="shared" si="84"/>
        <v>0</v>
      </c>
      <c r="AE62" s="204">
        <f t="shared" si="84"/>
        <v>0</v>
      </c>
      <c r="AF62" s="204">
        <f t="shared" si="84"/>
        <v>0</v>
      </c>
      <c r="AG62" s="204">
        <f t="shared" si="84"/>
        <v>0</v>
      </c>
      <c r="AH62" s="204">
        <f t="shared" si="84"/>
        <v>0</v>
      </c>
      <c r="AI62" s="204">
        <f t="shared" si="84"/>
        <v>0</v>
      </c>
      <c r="AJ62" s="204">
        <f t="shared" si="84"/>
        <v>0</v>
      </c>
      <c r="AK62" s="204">
        <f t="shared" si="84"/>
        <v>0</v>
      </c>
      <c r="AL62" s="204">
        <f t="shared" ref="AL62:BQ62" si="85">IF(AL$22&lt;=$E$24,IF(AL$22&lt;=$D$24,IF(AL$22&lt;=$C$24,IF(AL$22&lt;=$B$24,IF(AL6=0,0,IF($B28+($B$24-AL$22)*AL45&lt;0,0,$B28+($B$24-AL$22)*AL45)),$B28+(AL$22-$B$24)*AL45),$C28+(AL$22-$C$24)*AL45),$D28+(AL$22-$D$24)*AL45),IF($E28+(AL$22-$E$24)*AL45&lt;0,0,$E28+(AL$22-$E$24)*AL45))</f>
        <v>0</v>
      </c>
      <c r="AM62" s="204">
        <f t="shared" si="85"/>
        <v>0</v>
      </c>
      <c r="AN62" s="204">
        <f t="shared" si="85"/>
        <v>0</v>
      </c>
      <c r="AO62" s="204">
        <f t="shared" si="85"/>
        <v>0</v>
      </c>
      <c r="AP62" s="204">
        <f t="shared" si="85"/>
        <v>0</v>
      </c>
      <c r="AQ62" s="204">
        <f t="shared" si="85"/>
        <v>0</v>
      </c>
      <c r="AR62" s="204">
        <f t="shared" si="85"/>
        <v>0</v>
      </c>
      <c r="AS62" s="204">
        <f t="shared" si="85"/>
        <v>0</v>
      </c>
      <c r="AT62" s="204">
        <f t="shared" si="85"/>
        <v>0</v>
      </c>
      <c r="AU62" s="204">
        <f t="shared" si="85"/>
        <v>0</v>
      </c>
      <c r="AV62" s="204">
        <f t="shared" si="85"/>
        <v>0</v>
      </c>
      <c r="AW62" s="204">
        <f t="shared" si="85"/>
        <v>0</v>
      </c>
      <c r="AX62" s="204">
        <f t="shared" si="85"/>
        <v>0</v>
      </c>
      <c r="AY62" s="204">
        <f t="shared" si="85"/>
        <v>0</v>
      </c>
      <c r="AZ62" s="204">
        <f t="shared" si="85"/>
        <v>0</v>
      </c>
      <c r="BA62" s="204">
        <f t="shared" si="85"/>
        <v>0</v>
      </c>
      <c r="BB62" s="204">
        <f t="shared" si="85"/>
        <v>0</v>
      </c>
      <c r="BC62" s="204">
        <f t="shared" si="85"/>
        <v>0</v>
      </c>
      <c r="BD62" s="204">
        <f t="shared" si="85"/>
        <v>0</v>
      </c>
      <c r="BE62" s="204">
        <f t="shared" si="85"/>
        <v>0</v>
      </c>
      <c r="BF62" s="204">
        <f t="shared" si="85"/>
        <v>0</v>
      </c>
      <c r="BG62" s="204">
        <f t="shared" si="85"/>
        <v>0</v>
      </c>
      <c r="BH62" s="204">
        <f t="shared" si="85"/>
        <v>0</v>
      </c>
      <c r="BI62" s="204">
        <f t="shared" si="85"/>
        <v>0</v>
      </c>
      <c r="BJ62" s="204">
        <f t="shared" si="85"/>
        <v>0</v>
      </c>
      <c r="BK62" s="204">
        <f t="shared" si="85"/>
        <v>0</v>
      </c>
      <c r="BL62" s="204">
        <f t="shared" si="85"/>
        <v>0</v>
      </c>
      <c r="BM62" s="204">
        <f t="shared" si="85"/>
        <v>0</v>
      </c>
      <c r="BN62" s="204">
        <f t="shared" si="85"/>
        <v>0</v>
      </c>
      <c r="BO62" s="204">
        <f t="shared" si="85"/>
        <v>0</v>
      </c>
      <c r="BP62" s="204">
        <f t="shared" si="85"/>
        <v>0</v>
      </c>
      <c r="BQ62" s="204">
        <f t="shared" si="85"/>
        <v>0</v>
      </c>
      <c r="BR62" s="204">
        <f t="shared" ref="BR62:DA62" si="86">IF(BR$22&lt;=$E$24,IF(BR$22&lt;=$D$24,IF(BR$22&lt;=$C$24,IF(BR$22&lt;=$B$24,IF(BR6=0,0,IF($B28+($B$24-BR$22)*BR45&lt;0,0,$B28+($B$24-BR$22)*BR45)),$B28+(BR$22-$B$24)*BR45),$C28+(BR$22-$C$24)*BR45),$D28+(BR$22-$D$24)*BR45),IF($E28+(BR$22-$E$24)*BR45&lt;0,0,$E28+(BR$22-$E$24)*BR45))</f>
        <v>0</v>
      </c>
      <c r="BS62" s="204">
        <f t="shared" si="86"/>
        <v>0</v>
      </c>
      <c r="BT62" s="204">
        <f t="shared" si="86"/>
        <v>0</v>
      </c>
      <c r="BU62" s="204">
        <f t="shared" si="86"/>
        <v>0</v>
      </c>
      <c r="BV62" s="204">
        <f t="shared" si="86"/>
        <v>0</v>
      </c>
      <c r="BW62" s="204">
        <f t="shared" si="86"/>
        <v>0</v>
      </c>
      <c r="BX62" s="204">
        <f t="shared" si="86"/>
        <v>0</v>
      </c>
      <c r="BY62" s="204">
        <f t="shared" si="86"/>
        <v>0</v>
      </c>
      <c r="BZ62" s="204">
        <f t="shared" si="86"/>
        <v>0</v>
      </c>
      <c r="CA62" s="204">
        <f t="shared" si="86"/>
        <v>0</v>
      </c>
      <c r="CB62" s="204">
        <f t="shared" si="86"/>
        <v>0</v>
      </c>
      <c r="CC62" s="204">
        <f t="shared" si="86"/>
        <v>0</v>
      </c>
      <c r="CD62" s="204">
        <f t="shared" si="86"/>
        <v>0</v>
      </c>
      <c r="CE62" s="204">
        <f t="shared" si="86"/>
        <v>0</v>
      </c>
      <c r="CF62" s="204">
        <f t="shared" si="86"/>
        <v>0</v>
      </c>
      <c r="CG62" s="204">
        <f t="shared" si="86"/>
        <v>0</v>
      </c>
      <c r="CH62" s="204">
        <f t="shared" si="86"/>
        <v>0</v>
      </c>
      <c r="CI62" s="204">
        <f t="shared" si="86"/>
        <v>0</v>
      </c>
      <c r="CJ62" s="204">
        <f t="shared" si="86"/>
        <v>0</v>
      </c>
      <c r="CK62" s="204">
        <f t="shared" si="86"/>
        <v>0</v>
      </c>
      <c r="CL62" s="204">
        <f t="shared" si="86"/>
        <v>0</v>
      </c>
      <c r="CM62" s="204">
        <f t="shared" si="86"/>
        <v>0</v>
      </c>
      <c r="CN62" s="204">
        <f t="shared" si="86"/>
        <v>0</v>
      </c>
      <c r="CO62" s="204">
        <f t="shared" si="86"/>
        <v>0</v>
      </c>
      <c r="CP62" s="204">
        <f t="shared" si="86"/>
        <v>0</v>
      </c>
      <c r="CQ62" s="204">
        <f t="shared" si="86"/>
        <v>0</v>
      </c>
      <c r="CR62" s="204">
        <f t="shared" si="86"/>
        <v>0</v>
      </c>
      <c r="CS62" s="204">
        <f t="shared" si="86"/>
        <v>0</v>
      </c>
      <c r="CT62" s="204">
        <f t="shared" si="86"/>
        <v>0</v>
      </c>
      <c r="CU62" s="204">
        <f t="shared" si="86"/>
        <v>0</v>
      </c>
      <c r="CV62" s="204">
        <f t="shared" si="86"/>
        <v>0</v>
      </c>
      <c r="CW62" s="204">
        <f t="shared" si="86"/>
        <v>0</v>
      </c>
      <c r="CX62" s="204">
        <f t="shared" si="86"/>
        <v>0</v>
      </c>
      <c r="CY62" s="204">
        <f t="shared" si="86"/>
        <v>0</v>
      </c>
      <c r="CZ62" s="204">
        <f t="shared" si="86"/>
        <v>0</v>
      </c>
      <c r="DA62" s="204">
        <f t="shared" si="86"/>
        <v>0</v>
      </c>
    </row>
    <row r="63" spans="1:105" s="204" customFormat="1">
      <c r="A63" s="204" t="str">
        <f>Income!A76</f>
        <v>Animals sold</v>
      </c>
      <c r="F63" s="204">
        <f t="shared" ref="F63:BQ63" si="87">IF(F$22&lt;=$E$24,IF(F$22&lt;=$D$24,IF(F$22&lt;=$C$24,IF(F$22&lt;=$B$24,IF(F7=0,0,IF($B29+($B$24-F$22)*F46&lt;0,0,$B29+($B$24-F$22)*F46)),$B29+(F$22-$B$24)*F46),$C29+(F$22-$C$24)*F46),$D29+(F$22-$D$24)*F46),IF($E29+(F$22-$E$24)*F46&lt;0,0,$E29+(F$22-$E$24)*F46))</f>
        <v>1921.9158048747584</v>
      </c>
      <c r="G63" s="204">
        <f t="shared" si="87"/>
        <v>1921.9158048747584</v>
      </c>
      <c r="H63" s="204">
        <f t="shared" si="87"/>
        <v>1921.9158048747584</v>
      </c>
      <c r="I63" s="204">
        <f t="shared" si="87"/>
        <v>1921.9158048747584</v>
      </c>
      <c r="J63" s="204">
        <f t="shared" si="87"/>
        <v>1921.9158048747584</v>
      </c>
      <c r="K63" s="204">
        <f t="shared" si="87"/>
        <v>1921.9158048747584</v>
      </c>
      <c r="L63" s="204">
        <f t="shared" ref="L63:L69" si="88">IF(L$22&lt;=$E$24,IF(L$22&lt;=$D$24,IF(L$22&lt;=$C$24,IF(L$22&lt;=$B$24,IF(L7=0,0,IF($B29+($B$24-L$22)*L46&lt;0,0,$B29+($B$24-L$22)*L46)),$B29+(L$22-$B$24)*L46),$C29+(L$22-$C$24)*L46),$D29+(L$22-$D$24)*L46),IF($E29+(L$22-$E$24)*L46&lt;0,0,$E29+(L$22-$E$24)*L46))</f>
        <v>1921.9158048747584</v>
      </c>
      <c r="M63" s="204">
        <f t="shared" si="87"/>
        <v>1921.9158048747584</v>
      </c>
      <c r="N63" s="204">
        <f t="shared" si="87"/>
        <v>1921.9158048747584</v>
      </c>
      <c r="O63" s="204">
        <f t="shared" si="87"/>
        <v>1921.9158048747584</v>
      </c>
      <c r="P63" s="204">
        <f t="shared" si="87"/>
        <v>1921.9158048747584</v>
      </c>
      <c r="Q63" s="204">
        <f t="shared" si="87"/>
        <v>1921.9158048747584</v>
      </c>
      <c r="R63" s="204">
        <f t="shared" si="87"/>
        <v>1921.9158048747584</v>
      </c>
      <c r="S63" s="204">
        <f t="shared" si="87"/>
        <v>1921.9158048747584</v>
      </c>
      <c r="T63" s="204">
        <f t="shared" si="87"/>
        <v>1921.9158048747584</v>
      </c>
      <c r="U63" s="204">
        <f t="shared" si="87"/>
        <v>1921.9158048747584</v>
      </c>
      <c r="V63" s="204">
        <f t="shared" si="87"/>
        <v>1921.9158048747584</v>
      </c>
      <c r="W63" s="204">
        <f t="shared" si="87"/>
        <v>1921.9158048747584</v>
      </c>
      <c r="X63" s="204">
        <f t="shared" si="87"/>
        <v>1921.9158048747584</v>
      </c>
      <c r="Y63" s="204">
        <f t="shared" si="87"/>
        <v>1921.9158048747584</v>
      </c>
      <c r="Z63" s="204">
        <f t="shared" si="87"/>
        <v>1921.9158048747584</v>
      </c>
      <c r="AA63" s="204">
        <f t="shared" si="87"/>
        <v>1921.9158048747584</v>
      </c>
      <c r="AB63" s="204">
        <f t="shared" si="87"/>
        <v>1921.9158048747584</v>
      </c>
      <c r="AC63" s="204">
        <f t="shared" si="87"/>
        <v>1921.9158048747584</v>
      </c>
      <c r="AD63" s="204">
        <f t="shared" si="87"/>
        <v>1921.9158048747584</v>
      </c>
      <c r="AE63" s="204">
        <f t="shared" si="87"/>
        <v>1921.9158048747584</v>
      </c>
      <c r="AF63" s="204">
        <f t="shared" si="87"/>
        <v>2259.3188017305492</v>
      </c>
      <c r="AG63" s="204">
        <f t="shared" si="87"/>
        <v>2596.7217985863404</v>
      </c>
      <c r="AH63" s="204">
        <f t="shared" si="87"/>
        <v>2934.1247954421315</v>
      </c>
      <c r="AI63" s="204">
        <f t="shared" si="87"/>
        <v>3271.5277922979221</v>
      </c>
      <c r="AJ63" s="204">
        <f t="shared" si="87"/>
        <v>3608.9307891537128</v>
      </c>
      <c r="AK63" s="204">
        <f t="shared" si="87"/>
        <v>3946.3337860095044</v>
      </c>
      <c r="AL63" s="204">
        <f t="shared" si="87"/>
        <v>4283.736782865295</v>
      </c>
      <c r="AM63" s="204">
        <f t="shared" si="87"/>
        <v>4621.1397797210857</v>
      </c>
      <c r="AN63" s="204">
        <f t="shared" si="87"/>
        <v>4958.5427765768773</v>
      </c>
      <c r="AO63" s="204">
        <f t="shared" si="87"/>
        <v>5295.9457734326679</v>
      </c>
      <c r="AP63" s="204">
        <f t="shared" si="87"/>
        <v>5633.3487702884586</v>
      </c>
      <c r="AQ63" s="204">
        <f t="shared" si="87"/>
        <v>5970.7517671442502</v>
      </c>
      <c r="AR63" s="204">
        <f t="shared" si="87"/>
        <v>6308.1547640000408</v>
      </c>
      <c r="AS63" s="204">
        <f t="shared" si="87"/>
        <v>6645.5577608558315</v>
      </c>
      <c r="AT63" s="204">
        <f t="shared" si="87"/>
        <v>6982.960757711623</v>
      </c>
      <c r="AU63" s="204">
        <f t="shared" si="87"/>
        <v>7320.3637545674137</v>
      </c>
      <c r="AV63" s="204">
        <f t="shared" si="87"/>
        <v>7657.7667514232044</v>
      </c>
      <c r="AW63" s="204">
        <f t="shared" si="87"/>
        <v>7995.1697482789959</v>
      </c>
      <c r="AX63" s="204">
        <f t="shared" si="87"/>
        <v>8332.5727451347866</v>
      </c>
      <c r="AY63" s="204">
        <f t="shared" si="87"/>
        <v>8669.9757419905764</v>
      </c>
      <c r="AZ63" s="204">
        <f t="shared" si="87"/>
        <v>9007.3787388463679</v>
      </c>
      <c r="BA63" s="204">
        <f t="shared" si="87"/>
        <v>9344.7817357021595</v>
      </c>
      <c r="BB63" s="204">
        <f t="shared" si="87"/>
        <v>9682.1847325579492</v>
      </c>
      <c r="BC63" s="204">
        <f t="shared" si="87"/>
        <v>10019.587729413741</v>
      </c>
      <c r="BD63" s="204">
        <f t="shared" si="87"/>
        <v>10356.990726269531</v>
      </c>
      <c r="BE63" s="204">
        <f t="shared" si="87"/>
        <v>10694.393723125322</v>
      </c>
      <c r="BF63" s="204">
        <f t="shared" si="87"/>
        <v>11031.796719981114</v>
      </c>
      <c r="BG63" s="204">
        <f t="shared" si="87"/>
        <v>11369.199716836903</v>
      </c>
      <c r="BH63" s="204">
        <f t="shared" si="87"/>
        <v>11706.602713692695</v>
      </c>
      <c r="BI63" s="204">
        <f t="shared" si="87"/>
        <v>12044.005710548487</v>
      </c>
      <c r="BJ63" s="204">
        <f t="shared" si="87"/>
        <v>12381.408707404276</v>
      </c>
      <c r="BK63" s="204">
        <f t="shared" si="87"/>
        <v>12718.811704260068</v>
      </c>
      <c r="BL63" s="204">
        <f t="shared" si="87"/>
        <v>13056.214701115859</v>
      </c>
      <c r="BM63" s="204">
        <f t="shared" si="87"/>
        <v>13393.617697971649</v>
      </c>
      <c r="BN63" s="204">
        <f t="shared" si="87"/>
        <v>13731.020694827441</v>
      </c>
      <c r="BO63" s="204">
        <f t="shared" si="87"/>
        <v>14068.423691683232</v>
      </c>
      <c r="BP63" s="204">
        <f t="shared" si="87"/>
        <v>14405.826688539022</v>
      </c>
      <c r="BQ63" s="204">
        <f t="shared" si="87"/>
        <v>15273.625060990111</v>
      </c>
      <c r="BR63" s="204">
        <f t="shared" ref="BR63:DA63" si="89">IF(BR$22&lt;=$E$24,IF(BR$22&lt;=$D$24,IF(BR$22&lt;=$C$24,IF(BR$22&lt;=$B$24,IF(BR7=0,0,IF($B29+($B$24-BR$22)*BR46&lt;0,0,$B29+($B$24-BR$22)*BR46)),$B29+(BR$22-$B$24)*BR46),$C29+(BR$22-$C$24)*BR46),$D29+(BR$22-$D$24)*BR46),IF($E29+(BR$22-$E$24)*BR46&lt;0,0,$E29+(BR$22-$E$24)*BR46))</f>
        <v>16671.818809036497</v>
      </c>
      <c r="BS63" s="204">
        <f t="shared" si="89"/>
        <v>18070.012557082882</v>
      </c>
      <c r="BT63" s="204">
        <f t="shared" si="89"/>
        <v>19468.206305129272</v>
      </c>
      <c r="BU63" s="204">
        <f t="shared" si="89"/>
        <v>20866.400053175657</v>
      </c>
      <c r="BV63" s="204">
        <f t="shared" si="89"/>
        <v>22264.593801222043</v>
      </c>
      <c r="BW63" s="204">
        <f t="shared" si="89"/>
        <v>23662.787549268429</v>
      </c>
      <c r="BX63" s="204">
        <f t="shared" si="89"/>
        <v>25060.981297314815</v>
      </c>
      <c r="BY63" s="204">
        <f t="shared" si="89"/>
        <v>26459.175045361204</v>
      </c>
      <c r="BZ63" s="204">
        <f t="shared" si="89"/>
        <v>27857.36879340759</v>
      </c>
      <c r="CA63" s="204">
        <f t="shared" si="89"/>
        <v>29255.562541453975</v>
      </c>
      <c r="CB63" s="204">
        <f t="shared" si="89"/>
        <v>30653.756289500361</v>
      </c>
      <c r="CC63" s="204">
        <f t="shared" si="89"/>
        <v>32051.950037546747</v>
      </c>
      <c r="CD63" s="204">
        <f t="shared" si="89"/>
        <v>33450.143785593136</v>
      </c>
      <c r="CE63" s="204">
        <f t="shared" si="89"/>
        <v>34848.337533639518</v>
      </c>
      <c r="CF63" s="204">
        <f t="shared" si="89"/>
        <v>36246.531281685908</v>
      </c>
      <c r="CG63" s="204">
        <f t="shared" si="89"/>
        <v>37644.725029732297</v>
      </c>
      <c r="CH63" s="204">
        <f t="shared" si="89"/>
        <v>39042.918777778679</v>
      </c>
      <c r="CI63" s="204">
        <f t="shared" si="89"/>
        <v>40441.112525825069</v>
      </c>
      <c r="CJ63" s="204">
        <f t="shared" si="89"/>
        <v>41839.306273871451</v>
      </c>
      <c r="CK63" s="204">
        <f t="shared" si="89"/>
        <v>42795.085680945704</v>
      </c>
      <c r="CL63" s="204">
        <f t="shared" si="89"/>
        <v>43308.450747047806</v>
      </c>
      <c r="CM63" s="204">
        <f t="shared" si="89"/>
        <v>43821.815813149908</v>
      </c>
      <c r="CN63" s="204">
        <f t="shared" si="89"/>
        <v>44335.18087925201</v>
      </c>
      <c r="CO63" s="204">
        <f t="shared" si="89"/>
        <v>44848.545945354112</v>
      </c>
      <c r="CP63" s="204">
        <f t="shared" si="89"/>
        <v>45361.911011456214</v>
      </c>
      <c r="CQ63" s="204">
        <f t="shared" si="89"/>
        <v>45875.276077558316</v>
      </c>
      <c r="CR63" s="204">
        <f t="shared" si="89"/>
        <v>46388.641143660418</v>
      </c>
      <c r="CS63" s="204">
        <f t="shared" si="89"/>
        <v>46902.00620976252</v>
      </c>
      <c r="CT63" s="204">
        <f t="shared" si="89"/>
        <v>47415.371275864622</v>
      </c>
      <c r="CU63" s="204">
        <f t="shared" si="89"/>
        <v>47928.736341966724</v>
      </c>
      <c r="CV63" s="204">
        <f t="shared" si="89"/>
        <v>48442.101408068826</v>
      </c>
      <c r="CW63" s="204">
        <f t="shared" si="89"/>
        <v>48955.466474170928</v>
      </c>
      <c r="CX63" s="204">
        <f t="shared" si="89"/>
        <v>48955.466474170928</v>
      </c>
      <c r="CY63" s="204">
        <f t="shared" si="89"/>
        <v>48955.466474170928</v>
      </c>
      <c r="CZ63" s="204">
        <f t="shared" si="89"/>
        <v>48955.466474170928</v>
      </c>
      <c r="DA63" s="204">
        <f t="shared" si="89"/>
        <v>48955.466474170928</v>
      </c>
    </row>
    <row r="64" spans="1:105" s="204" customFormat="1">
      <c r="A64" s="204" t="str">
        <f>Income!A77</f>
        <v>Wild foods consumed and sold</v>
      </c>
      <c r="F64" s="204">
        <f t="shared" ref="F64:BQ64" si="90">IF(F$22&lt;=$E$24,IF(F$22&lt;=$D$24,IF(F$22&lt;=$C$24,IF(F$22&lt;=$B$24,IF(F8=0,0,IF($B30+($B$24-F$22)*F47&lt;0,0,$B30+($B$24-F$22)*F47)),$B30+(F$22-$B$24)*F47),$C30+(F$22-$C$24)*F47),$D30+(F$22-$D$24)*F47),IF($E30+(F$22-$E$24)*F47&lt;0,0,$E30+(F$22-$E$24)*F47))</f>
        <v>0</v>
      </c>
      <c r="G64" s="204">
        <f t="shared" si="90"/>
        <v>0</v>
      </c>
      <c r="H64" s="204">
        <f t="shared" si="90"/>
        <v>0</v>
      </c>
      <c r="I64" s="204">
        <f t="shared" si="90"/>
        <v>0</v>
      </c>
      <c r="J64" s="204">
        <f t="shared" si="90"/>
        <v>0</v>
      </c>
      <c r="K64" s="204">
        <f t="shared" si="90"/>
        <v>0</v>
      </c>
      <c r="L64" s="204">
        <f t="shared" si="88"/>
        <v>0</v>
      </c>
      <c r="M64" s="204">
        <f t="shared" si="90"/>
        <v>0</v>
      </c>
      <c r="N64" s="204">
        <f t="shared" si="90"/>
        <v>0</v>
      </c>
      <c r="O64" s="204">
        <f t="shared" si="90"/>
        <v>0</v>
      </c>
      <c r="P64" s="204">
        <f t="shared" si="90"/>
        <v>0</v>
      </c>
      <c r="Q64" s="204">
        <f t="shared" si="90"/>
        <v>0</v>
      </c>
      <c r="R64" s="204">
        <f t="shared" si="90"/>
        <v>0</v>
      </c>
      <c r="S64" s="204">
        <f t="shared" si="90"/>
        <v>0</v>
      </c>
      <c r="T64" s="204">
        <f t="shared" si="90"/>
        <v>0</v>
      </c>
      <c r="U64" s="204">
        <f t="shared" si="90"/>
        <v>0</v>
      </c>
      <c r="V64" s="204">
        <f t="shared" si="90"/>
        <v>0</v>
      </c>
      <c r="W64" s="204">
        <f t="shared" si="90"/>
        <v>0</v>
      </c>
      <c r="X64" s="204">
        <f t="shared" si="90"/>
        <v>0</v>
      </c>
      <c r="Y64" s="204">
        <f t="shared" si="90"/>
        <v>0</v>
      </c>
      <c r="Z64" s="204">
        <f t="shared" si="90"/>
        <v>0</v>
      </c>
      <c r="AA64" s="204">
        <f t="shared" si="90"/>
        <v>0</v>
      </c>
      <c r="AB64" s="204">
        <f t="shared" si="90"/>
        <v>0</v>
      </c>
      <c r="AC64" s="204">
        <f t="shared" si="90"/>
        <v>0</v>
      </c>
      <c r="AD64" s="204">
        <f t="shared" si="90"/>
        <v>0</v>
      </c>
      <c r="AE64" s="204">
        <f t="shared" si="90"/>
        <v>0</v>
      </c>
      <c r="AF64" s="204">
        <f t="shared" si="90"/>
        <v>0</v>
      </c>
      <c r="AG64" s="204">
        <f t="shared" si="90"/>
        <v>0</v>
      </c>
      <c r="AH64" s="204">
        <f t="shared" si="90"/>
        <v>0</v>
      </c>
      <c r="AI64" s="204">
        <f t="shared" si="90"/>
        <v>0</v>
      </c>
      <c r="AJ64" s="204">
        <f t="shared" si="90"/>
        <v>0</v>
      </c>
      <c r="AK64" s="204">
        <f t="shared" si="90"/>
        <v>0</v>
      </c>
      <c r="AL64" s="204">
        <f t="shared" si="90"/>
        <v>0</v>
      </c>
      <c r="AM64" s="204">
        <f t="shared" si="90"/>
        <v>0</v>
      </c>
      <c r="AN64" s="204">
        <f t="shared" si="90"/>
        <v>0</v>
      </c>
      <c r="AO64" s="204">
        <f t="shared" si="90"/>
        <v>0</v>
      </c>
      <c r="AP64" s="204">
        <f t="shared" si="90"/>
        <v>0</v>
      </c>
      <c r="AQ64" s="204">
        <f t="shared" si="90"/>
        <v>0</v>
      </c>
      <c r="AR64" s="204">
        <f t="shared" si="90"/>
        <v>0</v>
      </c>
      <c r="AS64" s="204">
        <f t="shared" si="90"/>
        <v>0</v>
      </c>
      <c r="AT64" s="204">
        <f t="shared" si="90"/>
        <v>0</v>
      </c>
      <c r="AU64" s="204">
        <f t="shared" si="90"/>
        <v>0</v>
      </c>
      <c r="AV64" s="204">
        <f t="shared" si="90"/>
        <v>0</v>
      </c>
      <c r="AW64" s="204">
        <f t="shared" si="90"/>
        <v>0</v>
      </c>
      <c r="AX64" s="204">
        <f t="shared" si="90"/>
        <v>0</v>
      </c>
      <c r="AY64" s="204">
        <f t="shared" si="90"/>
        <v>0</v>
      </c>
      <c r="AZ64" s="204">
        <f t="shared" si="90"/>
        <v>0</v>
      </c>
      <c r="BA64" s="204">
        <f t="shared" si="90"/>
        <v>0</v>
      </c>
      <c r="BB64" s="204">
        <f t="shared" si="90"/>
        <v>0</v>
      </c>
      <c r="BC64" s="204">
        <f t="shared" si="90"/>
        <v>0</v>
      </c>
      <c r="BD64" s="204">
        <f t="shared" si="90"/>
        <v>0</v>
      </c>
      <c r="BE64" s="204">
        <f t="shared" si="90"/>
        <v>0</v>
      </c>
      <c r="BF64" s="204">
        <f t="shared" si="90"/>
        <v>0</v>
      </c>
      <c r="BG64" s="204">
        <f t="shared" si="90"/>
        <v>0</v>
      </c>
      <c r="BH64" s="204">
        <f t="shared" si="90"/>
        <v>0</v>
      </c>
      <c r="BI64" s="204">
        <f t="shared" si="90"/>
        <v>0</v>
      </c>
      <c r="BJ64" s="204">
        <f t="shared" si="90"/>
        <v>0</v>
      </c>
      <c r="BK64" s="204">
        <f t="shared" si="90"/>
        <v>0</v>
      </c>
      <c r="BL64" s="204">
        <f t="shared" si="90"/>
        <v>0</v>
      </c>
      <c r="BM64" s="204">
        <f t="shared" si="90"/>
        <v>0</v>
      </c>
      <c r="BN64" s="204">
        <f t="shared" si="90"/>
        <v>0</v>
      </c>
      <c r="BO64" s="204">
        <f t="shared" si="90"/>
        <v>0</v>
      </c>
      <c r="BP64" s="204">
        <f t="shared" si="90"/>
        <v>0</v>
      </c>
      <c r="BQ64" s="204">
        <f t="shared" si="90"/>
        <v>0</v>
      </c>
      <c r="BR64" s="204">
        <f t="shared" ref="BR64:DA64" si="91">IF(BR$22&lt;=$E$24,IF(BR$22&lt;=$D$24,IF(BR$22&lt;=$C$24,IF(BR$22&lt;=$B$24,IF(BR8=0,0,IF($B30+($B$24-BR$22)*BR47&lt;0,0,$B30+($B$24-BR$22)*BR47)),$B30+(BR$22-$B$24)*BR47),$C30+(BR$22-$C$24)*BR47),$D30+(BR$22-$D$24)*BR47),IF($E30+(BR$22-$E$24)*BR47&lt;0,0,$E30+(BR$22-$E$24)*BR47))</f>
        <v>0</v>
      </c>
      <c r="BS64" s="204">
        <f t="shared" si="91"/>
        <v>0</v>
      </c>
      <c r="BT64" s="204">
        <f t="shared" si="91"/>
        <v>0</v>
      </c>
      <c r="BU64" s="204">
        <f t="shared" si="91"/>
        <v>0</v>
      </c>
      <c r="BV64" s="204">
        <f t="shared" si="91"/>
        <v>0</v>
      </c>
      <c r="BW64" s="204">
        <f t="shared" si="91"/>
        <v>0</v>
      </c>
      <c r="BX64" s="204">
        <f t="shared" si="91"/>
        <v>0</v>
      </c>
      <c r="BY64" s="204">
        <f t="shared" si="91"/>
        <v>0</v>
      </c>
      <c r="BZ64" s="204">
        <f t="shared" si="91"/>
        <v>0</v>
      </c>
      <c r="CA64" s="204">
        <f t="shared" si="91"/>
        <v>0</v>
      </c>
      <c r="CB64" s="204">
        <f t="shared" si="91"/>
        <v>0</v>
      </c>
      <c r="CC64" s="204">
        <f t="shared" si="91"/>
        <v>0</v>
      </c>
      <c r="CD64" s="204">
        <f t="shared" si="91"/>
        <v>0</v>
      </c>
      <c r="CE64" s="204">
        <f t="shared" si="91"/>
        <v>0</v>
      </c>
      <c r="CF64" s="204">
        <f t="shared" si="91"/>
        <v>0</v>
      </c>
      <c r="CG64" s="204">
        <f t="shared" si="91"/>
        <v>0</v>
      </c>
      <c r="CH64" s="204">
        <f t="shared" si="91"/>
        <v>0</v>
      </c>
      <c r="CI64" s="204">
        <f t="shared" si="91"/>
        <v>0</v>
      </c>
      <c r="CJ64" s="204">
        <f t="shared" si="91"/>
        <v>0</v>
      </c>
      <c r="CK64" s="204">
        <f t="shared" si="91"/>
        <v>0</v>
      </c>
      <c r="CL64" s="204">
        <f t="shared" si="91"/>
        <v>0</v>
      </c>
      <c r="CM64" s="204">
        <f t="shared" si="91"/>
        <v>0</v>
      </c>
      <c r="CN64" s="204">
        <f t="shared" si="91"/>
        <v>0</v>
      </c>
      <c r="CO64" s="204">
        <f t="shared" si="91"/>
        <v>0</v>
      </c>
      <c r="CP64" s="204">
        <f t="shared" si="91"/>
        <v>0</v>
      </c>
      <c r="CQ64" s="204">
        <f t="shared" si="91"/>
        <v>0</v>
      </c>
      <c r="CR64" s="204">
        <f t="shared" si="91"/>
        <v>0</v>
      </c>
      <c r="CS64" s="204">
        <f t="shared" si="91"/>
        <v>0</v>
      </c>
      <c r="CT64" s="204">
        <f t="shared" si="91"/>
        <v>0</v>
      </c>
      <c r="CU64" s="204">
        <f t="shared" si="91"/>
        <v>0</v>
      </c>
      <c r="CV64" s="204">
        <f t="shared" si="91"/>
        <v>0</v>
      </c>
      <c r="CW64" s="204">
        <f t="shared" si="91"/>
        <v>0</v>
      </c>
      <c r="CX64" s="204">
        <f t="shared" si="91"/>
        <v>52.189999999999884</v>
      </c>
      <c r="CY64" s="204">
        <f t="shared" si="91"/>
        <v>104.37999999999977</v>
      </c>
      <c r="CZ64" s="204">
        <f t="shared" si="91"/>
        <v>156.56999999999965</v>
      </c>
      <c r="DA64" s="204">
        <f t="shared" si="91"/>
        <v>208.75999999999954</v>
      </c>
    </row>
    <row r="65" spans="1:105" s="204" customFormat="1">
      <c r="A65" s="204" t="str">
        <f>Income!A78</f>
        <v>Labour - casual</v>
      </c>
      <c r="F65" s="204">
        <f t="shared" ref="F65:BQ65" si="92">IF(F$22&lt;=$E$24,IF(F$22&lt;=$D$24,IF(F$22&lt;=$C$24,IF(F$22&lt;=$B$24,IF(F9=0,0,IF($B31+($B$24-F$22)*F48&lt;0,0,$B31+($B$24-F$22)*F48)),$B31+(F$22-$B$24)*F48),$C31+(F$22-$C$24)*F48),$D31+(F$22-$D$24)*F48),IF($E31+(F$22-$E$24)*F48&lt;0,0,$E31+(F$22-$E$24)*F48))</f>
        <v>11104.402428165269</v>
      </c>
      <c r="G65" s="204">
        <f t="shared" si="92"/>
        <v>11104.402428165269</v>
      </c>
      <c r="H65" s="204">
        <f t="shared" si="92"/>
        <v>11104.402428165269</v>
      </c>
      <c r="I65" s="204">
        <f t="shared" si="92"/>
        <v>11104.402428165269</v>
      </c>
      <c r="J65" s="204">
        <f t="shared" si="92"/>
        <v>11104.402428165269</v>
      </c>
      <c r="K65" s="204">
        <f t="shared" si="92"/>
        <v>11104.402428165269</v>
      </c>
      <c r="L65" s="204">
        <f t="shared" si="88"/>
        <v>11104.402428165269</v>
      </c>
      <c r="M65" s="204">
        <f t="shared" si="92"/>
        <v>11104.402428165269</v>
      </c>
      <c r="N65" s="204">
        <f t="shared" si="92"/>
        <v>11104.402428165269</v>
      </c>
      <c r="O65" s="204">
        <f t="shared" si="92"/>
        <v>11104.402428165269</v>
      </c>
      <c r="P65" s="204">
        <f t="shared" si="92"/>
        <v>11104.402428165269</v>
      </c>
      <c r="Q65" s="204">
        <f t="shared" si="92"/>
        <v>11104.402428165269</v>
      </c>
      <c r="R65" s="204">
        <f t="shared" si="92"/>
        <v>11104.402428165269</v>
      </c>
      <c r="S65" s="204">
        <f t="shared" si="92"/>
        <v>11104.402428165269</v>
      </c>
      <c r="T65" s="204">
        <f t="shared" si="92"/>
        <v>11104.402428165269</v>
      </c>
      <c r="U65" s="204">
        <f t="shared" si="92"/>
        <v>11104.402428165269</v>
      </c>
      <c r="V65" s="204">
        <f t="shared" si="92"/>
        <v>11104.402428165269</v>
      </c>
      <c r="W65" s="204">
        <f t="shared" si="92"/>
        <v>11104.402428165269</v>
      </c>
      <c r="X65" s="204">
        <f t="shared" si="92"/>
        <v>11104.402428165269</v>
      </c>
      <c r="Y65" s="204">
        <f t="shared" si="92"/>
        <v>11104.402428165269</v>
      </c>
      <c r="Z65" s="204">
        <f t="shared" si="92"/>
        <v>11104.402428165269</v>
      </c>
      <c r="AA65" s="204">
        <f t="shared" si="92"/>
        <v>11104.402428165269</v>
      </c>
      <c r="AB65" s="204">
        <f t="shared" si="92"/>
        <v>11104.402428165269</v>
      </c>
      <c r="AC65" s="204">
        <f t="shared" si="92"/>
        <v>11104.402428165269</v>
      </c>
      <c r="AD65" s="204">
        <f t="shared" si="92"/>
        <v>11104.402428165269</v>
      </c>
      <c r="AE65" s="204">
        <f t="shared" si="92"/>
        <v>11104.402428165269</v>
      </c>
      <c r="AF65" s="204">
        <f t="shared" si="92"/>
        <v>11006.000338955682</v>
      </c>
      <c r="AG65" s="204">
        <f t="shared" si="92"/>
        <v>10907.598249746094</v>
      </c>
      <c r="AH65" s="204">
        <f t="shared" si="92"/>
        <v>10809.196160536507</v>
      </c>
      <c r="AI65" s="204">
        <f t="shared" si="92"/>
        <v>10710.794071326918</v>
      </c>
      <c r="AJ65" s="204">
        <f t="shared" si="92"/>
        <v>10612.391982117331</v>
      </c>
      <c r="AK65" s="204">
        <f t="shared" si="92"/>
        <v>10513.989892907743</v>
      </c>
      <c r="AL65" s="204">
        <f t="shared" si="92"/>
        <v>10415.587803698156</v>
      </c>
      <c r="AM65" s="204">
        <f t="shared" si="92"/>
        <v>10317.185714488569</v>
      </c>
      <c r="AN65" s="204">
        <f t="shared" si="92"/>
        <v>10218.78362527898</v>
      </c>
      <c r="AO65" s="204">
        <f t="shared" si="92"/>
        <v>10120.381536069393</v>
      </c>
      <c r="AP65" s="204">
        <f t="shared" si="92"/>
        <v>10021.979446859805</v>
      </c>
      <c r="AQ65" s="204">
        <f t="shared" si="92"/>
        <v>9923.5773576502179</v>
      </c>
      <c r="AR65" s="204">
        <f t="shared" si="92"/>
        <v>9825.175268440631</v>
      </c>
      <c r="AS65" s="204">
        <f t="shared" si="92"/>
        <v>9726.7731792310424</v>
      </c>
      <c r="AT65" s="204">
        <f t="shared" si="92"/>
        <v>9628.3710900214555</v>
      </c>
      <c r="AU65" s="204">
        <f t="shared" si="92"/>
        <v>9529.9690008118669</v>
      </c>
      <c r="AV65" s="204">
        <f t="shared" si="92"/>
        <v>9431.56691160228</v>
      </c>
      <c r="AW65" s="204">
        <f t="shared" si="92"/>
        <v>9333.1648223926932</v>
      </c>
      <c r="AX65" s="204">
        <f t="shared" si="92"/>
        <v>9234.7627331831045</v>
      </c>
      <c r="AY65" s="204">
        <f t="shared" si="92"/>
        <v>9136.3606439735177</v>
      </c>
      <c r="AZ65" s="204">
        <f t="shared" si="92"/>
        <v>9037.958554763929</v>
      </c>
      <c r="BA65" s="204">
        <f t="shared" si="92"/>
        <v>8939.5564655543421</v>
      </c>
      <c r="BB65" s="204">
        <f t="shared" si="92"/>
        <v>8841.1543763447553</v>
      </c>
      <c r="BC65" s="204">
        <f t="shared" si="92"/>
        <v>8742.7522871351666</v>
      </c>
      <c r="BD65" s="204">
        <f t="shared" si="92"/>
        <v>8644.3501979255798</v>
      </c>
      <c r="BE65" s="204">
        <f t="shared" si="92"/>
        <v>8545.9481087159911</v>
      </c>
      <c r="BF65" s="204">
        <f t="shared" si="92"/>
        <v>8447.5460195064043</v>
      </c>
      <c r="BG65" s="204">
        <f t="shared" si="92"/>
        <v>8349.1439302968174</v>
      </c>
      <c r="BH65" s="204">
        <f t="shared" si="92"/>
        <v>8250.7418410872287</v>
      </c>
      <c r="BI65" s="204">
        <f t="shared" si="92"/>
        <v>8152.339751877641</v>
      </c>
      <c r="BJ65" s="204">
        <f t="shared" si="92"/>
        <v>8053.9376626680532</v>
      </c>
      <c r="BK65" s="204">
        <f t="shared" si="92"/>
        <v>7955.5355734584664</v>
      </c>
      <c r="BL65" s="204">
        <f t="shared" si="92"/>
        <v>7857.1334842488777</v>
      </c>
      <c r="BM65" s="204">
        <f t="shared" si="92"/>
        <v>7758.7313950392909</v>
      </c>
      <c r="BN65" s="204">
        <f t="shared" si="92"/>
        <v>7660.3293058297031</v>
      </c>
      <c r="BO65" s="204">
        <f t="shared" si="92"/>
        <v>7561.9272166201154</v>
      </c>
      <c r="BP65" s="204">
        <f t="shared" si="92"/>
        <v>7463.5251274105285</v>
      </c>
      <c r="BQ65" s="204">
        <f t="shared" si="92"/>
        <v>8048.9833908154878</v>
      </c>
      <c r="BR65" s="204">
        <f t="shared" ref="BR65:DA65" si="93">IF(BR$22&lt;=$E$24,IF(BR$22&lt;=$D$24,IF(BR$22&lt;=$C$24,IF(BR$22&lt;=$B$24,IF(BR9=0,0,IF($B31+($B$24-BR$22)*BR48&lt;0,0,$B31+($B$24-BR$22)*BR48)),$B31+(BR$22-$B$24)*BR48),$C31+(BR$22-$C$24)*BR48),$D31+(BR$22-$D$24)*BR48),IF($E31+(BR$22-$E$24)*BR48&lt;0,0,$E31+(BR$22-$E$24)*BR48))</f>
        <v>9318.3020068349942</v>
      </c>
      <c r="BS65" s="204">
        <f t="shared" si="93"/>
        <v>10587.620622854502</v>
      </c>
      <c r="BT65" s="204">
        <f t="shared" si="93"/>
        <v>11856.939238874009</v>
      </c>
      <c r="BU65" s="204">
        <f t="shared" si="93"/>
        <v>13126.257854893516</v>
      </c>
      <c r="BV65" s="204">
        <f t="shared" si="93"/>
        <v>14395.576470913022</v>
      </c>
      <c r="BW65" s="204">
        <f t="shared" si="93"/>
        <v>15664.895086932527</v>
      </c>
      <c r="BX65" s="204">
        <f t="shared" si="93"/>
        <v>16934.213702952035</v>
      </c>
      <c r="BY65" s="204">
        <f t="shared" si="93"/>
        <v>18203.532318971542</v>
      </c>
      <c r="BZ65" s="204">
        <f t="shared" si="93"/>
        <v>19472.850934991049</v>
      </c>
      <c r="CA65" s="204">
        <f t="shared" si="93"/>
        <v>20742.169551010556</v>
      </c>
      <c r="CB65" s="204">
        <f t="shared" si="93"/>
        <v>22011.488167030064</v>
      </c>
      <c r="CC65" s="204">
        <f t="shared" si="93"/>
        <v>23280.806783049571</v>
      </c>
      <c r="CD65" s="204">
        <f t="shared" si="93"/>
        <v>24550.125399069078</v>
      </c>
      <c r="CE65" s="204">
        <f t="shared" si="93"/>
        <v>25819.444015088586</v>
      </c>
      <c r="CF65" s="204">
        <f t="shared" si="93"/>
        <v>27088.762631108093</v>
      </c>
      <c r="CG65" s="204">
        <f t="shared" si="93"/>
        <v>28358.081247127597</v>
      </c>
      <c r="CH65" s="204">
        <f t="shared" si="93"/>
        <v>29627.399863147104</v>
      </c>
      <c r="CI65" s="204">
        <f t="shared" si="93"/>
        <v>30896.718479166611</v>
      </c>
      <c r="CJ65" s="204">
        <f t="shared" si="93"/>
        <v>32166.037095186119</v>
      </c>
      <c r="CK65" s="204">
        <f t="shared" si="93"/>
        <v>31488.668547068035</v>
      </c>
      <c r="CL65" s="204">
        <f t="shared" si="93"/>
        <v>28864.612834812368</v>
      </c>
      <c r="CM65" s="204">
        <f t="shared" si="93"/>
        <v>26240.557122556696</v>
      </c>
      <c r="CN65" s="204">
        <f t="shared" si="93"/>
        <v>23616.501410301025</v>
      </c>
      <c r="CO65" s="204">
        <f t="shared" si="93"/>
        <v>20992.445698045354</v>
      </c>
      <c r="CP65" s="204">
        <f t="shared" si="93"/>
        <v>18368.389985789687</v>
      </c>
      <c r="CQ65" s="204">
        <f t="shared" si="93"/>
        <v>15744.334273534016</v>
      </c>
      <c r="CR65" s="204">
        <f t="shared" si="93"/>
        <v>13120.278561278348</v>
      </c>
      <c r="CS65" s="204">
        <f t="shared" si="93"/>
        <v>10496.222849022677</v>
      </c>
      <c r="CT65" s="204">
        <f t="shared" si="93"/>
        <v>7872.1671367670097</v>
      </c>
      <c r="CU65" s="204">
        <f t="shared" si="93"/>
        <v>5248.1114245113386</v>
      </c>
      <c r="CV65" s="204">
        <f t="shared" si="93"/>
        <v>2624.0557122556675</v>
      </c>
      <c r="CW65" s="204">
        <f t="shared" si="93"/>
        <v>0</v>
      </c>
      <c r="CX65" s="204">
        <f t="shared" si="93"/>
        <v>0</v>
      </c>
      <c r="CY65" s="204">
        <f t="shared" si="93"/>
        <v>0</v>
      </c>
      <c r="CZ65" s="204">
        <f t="shared" si="93"/>
        <v>0</v>
      </c>
      <c r="DA65" s="204">
        <f t="shared" si="93"/>
        <v>0</v>
      </c>
    </row>
    <row r="66" spans="1:105" s="204" customFormat="1">
      <c r="A66" s="204" t="str">
        <f>Income!A79</f>
        <v>Labour - formal emp</v>
      </c>
      <c r="F66" s="204">
        <f t="shared" ref="F66:BQ66" si="94">IF(F$22&lt;=$E$24,IF(F$22&lt;=$D$24,IF(F$22&lt;=$C$24,IF(F$22&lt;=$B$24,IF(F10=0,0,IF($B32+($B$24-F$22)*F49&lt;0,0,$B32+($B$24-F$22)*F49)),$B32+(F$22-$B$24)*F49),$C32+(F$22-$C$24)*F49),$D32+(F$22-$D$24)*F49),IF($E32+(F$22-$E$24)*F49&lt;0,0,$E32+(F$22-$E$24)*F49))</f>
        <v>0</v>
      </c>
      <c r="G66" s="204">
        <f t="shared" si="94"/>
        <v>0</v>
      </c>
      <c r="H66" s="204">
        <f t="shared" si="94"/>
        <v>0</v>
      </c>
      <c r="I66" s="204">
        <f t="shared" si="94"/>
        <v>0</v>
      </c>
      <c r="J66" s="204">
        <f t="shared" si="94"/>
        <v>0</v>
      </c>
      <c r="K66" s="204">
        <f t="shared" si="94"/>
        <v>0</v>
      </c>
      <c r="L66" s="204">
        <f t="shared" si="88"/>
        <v>0</v>
      </c>
      <c r="M66" s="204">
        <f t="shared" si="94"/>
        <v>0</v>
      </c>
      <c r="N66" s="204">
        <f t="shared" si="94"/>
        <v>0</v>
      </c>
      <c r="O66" s="204">
        <f t="shared" si="94"/>
        <v>0</v>
      </c>
      <c r="P66" s="204">
        <f t="shared" si="94"/>
        <v>0</v>
      </c>
      <c r="Q66" s="204">
        <f t="shared" si="94"/>
        <v>0</v>
      </c>
      <c r="R66" s="204">
        <f t="shared" si="94"/>
        <v>0</v>
      </c>
      <c r="S66" s="204">
        <f t="shared" si="94"/>
        <v>0</v>
      </c>
      <c r="T66" s="204">
        <f t="shared" si="94"/>
        <v>0</v>
      </c>
      <c r="U66" s="204">
        <f t="shared" si="94"/>
        <v>0</v>
      </c>
      <c r="V66" s="204">
        <f t="shared" si="94"/>
        <v>0</v>
      </c>
      <c r="W66" s="204">
        <f t="shared" si="94"/>
        <v>0</v>
      </c>
      <c r="X66" s="204">
        <f t="shared" si="94"/>
        <v>0</v>
      </c>
      <c r="Y66" s="204">
        <f t="shared" si="94"/>
        <v>0</v>
      </c>
      <c r="Z66" s="204">
        <f t="shared" si="94"/>
        <v>0</v>
      </c>
      <c r="AA66" s="204">
        <f t="shared" si="94"/>
        <v>0</v>
      </c>
      <c r="AB66" s="204">
        <f t="shared" si="94"/>
        <v>0</v>
      </c>
      <c r="AC66" s="204">
        <f t="shared" si="94"/>
        <v>0</v>
      </c>
      <c r="AD66" s="204">
        <f t="shared" si="94"/>
        <v>0</v>
      </c>
      <c r="AE66" s="204">
        <f t="shared" si="94"/>
        <v>0</v>
      </c>
      <c r="AF66" s="204">
        <f t="shared" si="94"/>
        <v>0</v>
      </c>
      <c r="AG66" s="204">
        <f t="shared" si="94"/>
        <v>0</v>
      </c>
      <c r="AH66" s="204">
        <f t="shared" si="94"/>
        <v>0</v>
      </c>
      <c r="AI66" s="204">
        <f t="shared" si="94"/>
        <v>0</v>
      </c>
      <c r="AJ66" s="204">
        <f t="shared" si="94"/>
        <v>0</v>
      </c>
      <c r="AK66" s="204">
        <f t="shared" si="94"/>
        <v>0</v>
      </c>
      <c r="AL66" s="204">
        <f t="shared" si="94"/>
        <v>0</v>
      </c>
      <c r="AM66" s="204">
        <f t="shared" si="94"/>
        <v>0</v>
      </c>
      <c r="AN66" s="204">
        <f t="shared" si="94"/>
        <v>0</v>
      </c>
      <c r="AO66" s="204">
        <f t="shared" si="94"/>
        <v>0</v>
      </c>
      <c r="AP66" s="204">
        <f t="shared" si="94"/>
        <v>0</v>
      </c>
      <c r="AQ66" s="204">
        <f t="shared" si="94"/>
        <v>0</v>
      </c>
      <c r="AR66" s="204">
        <f t="shared" si="94"/>
        <v>0</v>
      </c>
      <c r="AS66" s="204">
        <f t="shared" si="94"/>
        <v>0</v>
      </c>
      <c r="AT66" s="204">
        <f t="shared" si="94"/>
        <v>0</v>
      </c>
      <c r="AU66" s="204">
        <f t="shared" si="94"/>
        <v>0</v>
      </c>
      <c r="AV66" s="204">
        <f t="shared" si="94"/>
        <v>0</v>
      </c>
      <c r="AW66" s="204">
        <f t="shared" si="94"/>
        <v>0</v>
      </c>
      <c r="AX66" s="204">
        <f t="shared" si="94"/>
        <v>0</v>
      </c>
      <c r="AY66" s="204">
        <f t="shared" si="94"/>
        <v>0</v>
      </c>
      <c r="AZ66" s="204">
        <f t="shared" si="94"/>
        <v>0</v>
      </c>
      <c r="BA66" s="204">
        <f t="shared" si="94"/>
        <v>0</v>
      </c>
      <c r="BB66" s="204">
        <f t="shared" si="94"/>
        <v>0</v>
      </c>
      <c r="BC66" s="204">
        <f t="shared" si="94"/>
        <v>0</v>
      </c>
      <c r="BD66" s="204">
        <f t="shared" si="94"/>
        <v>0</v>
      </c>
      <c r="BE66" s="204">
        <f t="shared" si="94"/>
        <v>0</v>
      </c>
      <c r="BF66" s="204">
        <f t="shared" si="94"/>
        <v>0</v>
      </c>
      <c r="BG66" s="204">
        <f t="shared" si="94"/>
        <v>0</v>
      </c>
      <c r="BH66" s="204">
        <f t="shared" si="94"/>
        <v>0</v>
      </c>
      <c r="BI66" s="204">
        <f t="shared" si="94"/>
        <v>0</v>
      </c>
      <c r="BJ66" s="204">
        <f t="shared" si="94"/>
        <v>0</v>
      </c>
      <c r="BK66" s="204">
        <f t="shared" si="94"/>
        <v>0</v>
      </c>
      <c r="BL66" s="204">
        <f t="shared" si="94"/>
        <v>0</v>
      </c>
      <c r="BM66" s="204">
        <f t="shared" si="94"/>
        <v>0</v>
      </c>
      <c r="BN66" s="204">
        <f t="shared" si="94"/>
        <v>0</v>
      </c>
      <c r="BO66" s="204">
        <f t="shared" si="94"/>
        <v>0</v>
      </c>
      <c r="BP66" s="204">
        <f t="shared" si="94"/>
        <v>0</v>
      </c>
      <c r="BQ66" s="204">
        <f t="shared" si="94"/>
        <v>0</v>
      </c>
      <c r="BR66" s="204">
        <f t="shared" ref="BR66:DA66" si="95">IF(BR$22&lt;=$E$24,IF(BR$22&lt;=$D$24,IF(BR$22&lt;=$C$24,IF(BR$22&lt;=$B$24,IF(BR10=0,0,IF($B32+($B$24-BR$22)*BR49&lt;0,0,$B32+($B$24-BR$22)*BR49)),$B32+(BR$22-$B$24)*BR49),$C32+(BR$22-$C$24)*BR49),$D32+(BR$22-$D$24)*BR49),IF($E32+(BR$22-$E$24)*BR49&lt;0,0,$E32+(BR$22-$E$24)*BR49))</f>
        <v>0</v>
      </c>
      <c r="BS66" s="204">
        <f t="shared" si="95"/>
        <v>0</v>
      </c>
      <c r="BT66" s="204">
        <f t="shared" si="95"/>
        <v>0</v>
      </c>
      <c r="BU66" s="204">
        <f t="shared" si="95"/>
        <v>0</v>
      </c>
      <c r="BV66" s="204">
        <f t="shared" si="95"/>
        <v>0</v>
      </c>
      <c r="BW66" s="204">
        <f t="shared" si="95"/>
        <v>0</v>
      </c>
      <c r="BX66" s="204">
        <f t="shared" si="95"/>
        <v>0</v>
      </c>
      <c r="BY66" s="204">
        <f t="shared" si="95"/>
        <v>0</v>
      </c>
      <c r="BZ66" s="204">
        <f t="shared" si="95"/>
        <v>0</v>
      </c>
      <c r="CA66" s="204">
        <f t="shared" si="95"/>
        <v>0</v>
      </c>
      <c r="CB66" s="204">
        <f t="shared" si="95"/>
        <v>0</v>
      </c>
      <c r="CC66" s="204">
        <f t="shared" si="95"/>
        <v>0</v>
      </c>
      <c r="CD66" s="204">
        <f t="shared" si="95"/>
        <v>0</v>
      </c>
      <c r="CE66" s="204">
        <f t="shared" si="95"/>
        <v>0</v>
      </c>
      <c r="CF66" s="204">
        <f t="shared" si="95"/>
        <v>0</v>
      </c>
      <c r="CG66" s="204">
        <f t="shared" si="95"/>
        <v>0</v>
      </c>
      <c r="CH66" s="204">
        <f t="shared" si="95"/>
        <v>0</v>
      </c>
      <c r="CI66" s="204">
        <f t="shared" si="95"/>
        <v>0</v>
      </c>
      <c r="CJ66" s="204">
        <f t="shared" si="95"/>
        <v>0</v>
      </c>
      <c r="CK66" s="204">
        <f t="shared" si="95"/>
        <v>4520.3459730654313</v>
      </c>
      <c r="CL66" s="204">
        <f t="shared" si="95"/>
        <v>13561.037919196293</v>
      </c>
      <c r="CM66" s="204">
        <f t="shared" si="95"/>
        <v>22601.729865327157</v>
      </c>
      <c r="CN66" s="204">
        <f t="shared" si="95"/>
        <v>31642.421811458018</v>
      </c>
      <c r="CO66" s="204">
        <f t="shared" si="95"/>
        <v>40683.113757588879</v>
      </c>
      <c r="CP66" s="204">
        <f t="shared" si="95"/>
        <v>49723.805703719743</v>
      </c>
      <c r="CQ66" s="204">
        <f t="shared" si="95"/>
        <v>58764.497649850608</v>
      </c>
      <c r="CR66" s="204">
        <f t="shared" si="95"/>
        <v>67805.189595981472</v>
      </c>
      <c r="CS66" s="204">
        <f t="shared" si="95"/>
        <v>76845.881542112329</v>
      </c>
      <c r="CT66" s="204">
        <f t="shared" si="95"/>
        <v>85886.573488243201</v>
      </c>
      <c r="CU66" s="204">
        <f t="shared" si="95"/>
        <v>94927.265434374058</v>
      </c>
      <c r="CV66" s="204">
        <f t="shared" si="95"/>
        <v>103967.95738050491</v>
      </c>
      <c r="CW66" s="204">
        <f t="shared" si="95"/>
        <v>113008.64932663579</v>
      </c>
      <c r="CX66" s="204">
        <f t="shared" si="95"/>
        <v>115680.34932663578</v>
      </c>
      <c r="CY66" s="204">
        <f t="shared" si="95"/>
        <v>118352.04932663578</v>
      </c>
      <c r="CZ66" s="204">
        <f t="shared" si="95"/>
        <v>121023.74932663579</v>
      </c>
      <c r="DA66" s="204">
        <f t="shared" si="95"/>
        <v>123695.44932663579</v>
      </c>
    </row>
    <row r="67" spans="1:105" s="204" customFormat="1">
      <c r="A67" s="204" t="str">
        <f>Income!A81</f>
        <v>Self - employment</v>
      </c>
      <c r="F67" s="204">
        <f t="shared" ref="F67:BQ67" si="96">IF(F$22&lt;=$E$24,IF(F$22&lt;=$D$24,IF(F$22&lt;=$C$24,IF(F$22&lt;=$B$24,IF(F11=0,0,IF($B33+($B$24-F$22)*F50&lt;0,0,$B33+($B$24-F$22)*F50)),$B33+(F$22-$B$24)*F50),$C33+(F$22-$C$24)*F50),$D33+(F$22-$D$24)*F50),IF($E33+(F$22-$E$24)*F50&lt;0,0,$E33+(F$22-$E$24)*F50))</f>
        <v>0</v>
      </c>
      <c r="G67" s="204">
        <f t="shared" si="96"/>
        <v>0</v>
      </c>
      <c r="H67" s="204">
        <f t="shared" si="96"/>
        <v>0</v>
      </c>
      <c r="I67" s="204">
        <f t="shared" si="96"/>
        <v>0</v>
      </c>
      <c r="J67" s="204">
        <f t="shared" si="96"/>
        <v>0</v>
      </c>
      <c r="K67" s="204">
        <f t="shared" si="96"/>
        <v>0</v>
      </c>
      <c r="L67" s="204">
        <f t="shared" si="88"/>
        <v>0</v>
      </c>
      <c r="M67" s="204">
        <f t="shared" si="96"/>
        <v>0</v>
      </c>
      <c r="N67" s="204">
        <f t="shared" si="96"/>
        <v>0</v>
      </c>
      <c r="O67" s="204">
        <f t="shared" si="96"/>
        <v>0</v>
      </c>
      <c r="P67" s="204">
        <f t="shared" si="96"/>
        <v>0</v>
      </c>
      <c r="Q67" s="204">
        <f t="shared" si="96"/>
        <v>0</v>
      </c>
      <c r="R67" s="204">
        <f t="shared" si="96"/>
        <v>0</v>
      </c>
      <c r="S67" s="204">
        <f t="shared" si="96"/>
        <v>0</v>
      </c>
      <c r="T67" s="204">
        <f t="shared" si="96"/>
        <v>0</v>
      </c>
      <c r="U67" s="204">
        <f t="shared" si="96"/>
        <v>0</v>
      </c>
      <c r="V67" s="204">
        <f t="shared" si="96"/>
        <v>0</v>
      </c>
      <c r="W67" s="204">
        <f t="shared" si="96"/>
        <v>0</v>
      </c>
      <c r="X67" s="204">
        <f t="shared" si="96"/>
        <v>0</v>
      </c>
      <c r="Y67" s="204">
        <f t="shared" si="96"/>
        <v>0</v>
      </c>
      <c r="Z67" s="204">
        <f t="shared" si="96"/>
        <v>0</v>
      </c>
      <c r="AA67" s="204">
        <f t="shared" si="96"/>
        <v>0</v>
      </c>
      <c r="AB67" s="204">
        <f t="shared" si="96"/>
        <v>0</v>
      </c>
      <c r="AC67" s="204">
        <f t="shared" si="96"/>
        <v>0</v>
      </c>
      <c r="AD67" s="204">
        <f t="shared" si="96"/>
        <v>0</v>
      </c>
      <c r="AE67" s="204">
        <f t="shared" si="96"/>
        <v>0</v>
      </c>
      <c r="AF67" s="204">
        <f t="shared" si="96"/>
        <v>0</v>
      </c>
      <c r="AG67" s="204">
        <f t="shared" si="96"/>
        <v>0</v>
      </c>
      <c r="AH67" s="204">
        <f t="shared" si="96"/>
        <v>0</v>
      </c>
      <c r="AI67" s="204">
        <f t="shared" si="96"/>
        <v>0</v>
      </c>
      <c r="AJ67" s="204">
        <f t="shared" si="96"/>
        <v>0</v>
      </c>
      <c r="AK67" s="204">
        <f t="shared" si="96"/>
        <v>0</v>
      </c>
      <c r="AL67" s="204">
        <f t="shared" si="96"/>
        <v>0</v>
      </c>
      <c r="AM67" s="204">
        <f t="shared" si="96"/>
        <v>0</v>
      </c>
      <c r="AN67" s="204">
        <f t="shared" si="96"/>
        <v>0</v>
      </c>
      <c r="AO67" s="204">
        <f t="shared" si="96"/>
        <v>0</v>
      </c>
      <c r="AP67" s="204">
        <f t="shared" si="96"/>
        <v>0</v>
      </c>
      <c r="AQ67" s="204">
        <f t="shared" si="96"/>
        <v>0</v>
      </c>
      <c r="AR67" s="204">
        <f t="shared" si="96"/>
        <v>0</v>
      </c>
      <c r="AS67" s="204">
        <f t="shared" si="96"/>
        <v>0</v>
      </c>
      <c r="AT67" s="204">
        <f t="shared" si="96"/>
        <v>0</v>
      </c>
      <c r="AU67" s="204">
        <f t="shared" si="96"/>
        <v>0</v>
      </c>
      <c r="AV67" s="204">
        <f t="shared" si="96"/>
        <v>0</v>
      </c>
      <c r="AW67" s="204">
        <f t="shared" si="96"/>
        <v>0</v>
      </c>
      <c r="AX67" s="204">
        <f t="shared" si="96"/>
        <v>0</v>
      </c>
      <c r="AY67" s="204">
        <f t="shared" si="96"/>
        <v>0</v>
      </c>
      <c r="AZ67" s="204">
        <f t="shared" si="96"/>
        <v>0</v>
      </c>
      <c r="BA67" s="204">
        <f t="shared" si="96"/>
        <v>0</v>
      </c>
      <c r="BB67" s="204">
        <f t="shared" si="96"/>
        <v>0</v>
      </c>
      <c r="BC67" s="204">
        <f t="shared" si="96"/>
        <v>0</v>
      </c>
      <c r="BD67" s="204">
        <f t="shared" si="96"/>
        <v>0</v>
      </c>
      <c r="BE67" s="204">
        <f t="shared" si="96"/>
        <v>0</v>
      </c>
      <c r="BF67" s="204">
        <f t="shared" si="96"/>
        <v>0</v>
      </c>
      <c r="BG67" s="204">
        <f t="shared" si="96"/>
        <v>0</v>
      </c>
      <c r="BH67" s="204">
        <f t="shared" si="96"/>
        <v>0</v>
      </c>
      <c r="BI67" s="204">
        <f t="shared" si="96"/>
        <v>0</v>
      </c>
      <c r="BJ67" s="204">
        <f t="shared" si="96"/>
        <v>0</v>
      </c>
      <c r="BK67" s="204">
        <f t="shared" si="96"/>
        <v>0</v>
      </c>
      <c r="BL67" s="204">
        <f t="shared" si="96"/>
        <v>0</v>
      </c>
      <c r="BM67" s="204">
        <f t="shared" si="96"/>
        <v>0</v>
      </c>
      <c r="BN67" s="204">
        <f t="shared" si="96"/>
        <v>0</v>
      </c>
      <c r="BO67" s="204">
        <f t="shared" si="96"/>
        <v>0</v>
      </c>
      <c r="BP67" s="204">
        <f t="shared" si="96"/>
        <v>0</v>
      </c>
      <c r="BQ67" s="204">
        <f t="shared" si="96"/>
        <v>0</v>
      </c>
      <c r="BR67" s="204">
        <f t="shared" ref="BR67:DA67" si="97">IF(BR$22&lt;=$E$24,IF(BR$22&lt;=$D$24,IF(BR$22&lt;=$C$24,IF(BR$22&lt;=$B$24,IF(BR11=0,0,IF($B33+($B$24-BR$22)*BR50&lt;0,0,$B33+($B$24-BR$22)*BR50)),$B33+(BR$22-$B$24)*BR50),$C33+(BR$22-$C$24)*BR50),$D33+(BR$22-$D$24)*BR50),IF($E33+(BR$22-$E$24)*BR50&lt;0,0,$E33+(BR$22-$E$24)*BR50))</f>
        <v>0</v>
      </c>
      <c r="BS67" s="204">
        <f t="shared" si="97"/>
        <v>0</v>
      </c>
      <c r="BT67" s="204">
        <f t="shared" si="97"/>
        <v>0</v>
      </c>
      <c r="BU67" s="204">
        <f t="shared" si="97"/>
        <v>0</v>
      </c>
      <c r="BV67" s="204">
        <f t="shared" si="97"/>
        <v>0</v>
      </c>
      <c r="BW67" s="204">
        <f t="shared" si="97"/>
        <v>0</v>
      </c>
      <c r="BX67" s="204">
        <f t="shared" si="97"/>
        <v>0</v>
      </c>
      <c r="BY67" s="204">
        <f t="shared" si="97"/>
        <v>0</v>
      </c>
      <c r="BZ67" s="204">
        <f t="shared" si="97"/>
        <v>0</v>
      </c>
      <c r="CA67" s="204">
        <f t="shared" si="97"/>
        <v>0</v>
      </c>
      <c r="CB67" s="204">
        <f t="shared" si="97"/>
        <v>0</v>
      </c>
      <c r="CC67" s="204">
        <f t="shared" si="97"/>
        <v>0</v>
      </c>
      <c r="CD67" s="204">
        <f t="shared" si="97"/>
        <v>0</v>
      </c>
      <c r="CE67" s="204">
        <f t="shared" si="97"/>
        <v>0</v>
      </c>
      <c r="CF67" s="204">
        <f t="shared" si="97"/>
        <v>0</v>
      </c>
      <c r="CG67" s="204">
        <f t="shared" si="97"/>
        <v>0</v>
      </c>
      <c r="CH67" s="204">
        <f t="shared" si="97"/>
        <v>0</v>
      </c>
      <c r="CI67" s="204">
        <f t="shared" si="97"/>
        <v>0</v>
      </c>
      <c r="CJ67" s="204">
        <f t="shared" si="97"/>
        <v>0</v>
      </c>
      <c r="CK67" s="204">
        <f t="shared" si="97"/>
        <v>0</v>
      </c>
      <c r="CL67" s="204">
        <f t="shared" si="97"/>
        <v>0</v>
      </c>
      <c r="CM67" s="204">
        <f t="shared" si="97"/>
        <v>0</v>
      </c>
      <c r="CN67" s="204">
        <f t="shared" si="97"/>
        <v>0</v>
      </c>
      <c r="CO67" s="204">
        <f t="shared" si="97"/>
        <v>0</v>
      </c>
      <c r="CP67" s="204">
        <f t="shared" si="97"/>
        <v>0</v>
      </c>
      <c r="CQ67" s="204">
        <f t="shared" si="97"/>
        <v>0</v>
      </c>
      <c r="CR67" s="204">
        <f t="shared" si="97"/>
        <v>0</v>
      </c>
      <c r="CS67" s="204">
        <f t="shared" si="97"/>
        <v>0</v>
      </c>
      <c r="CT67" s="204">
        <f t="shared" si="97"/>
        <v>0</v>
      </c>
      <c r="CU67" s="204">
        <f t="shared" si="97"/>
        <v>0</v>
      </c>
      <c r="CV67" s="204">
        <f t="shared" si="97"/>
        <v>0</v>
      </c>
      <c r="CW67" s="204">
        <f t="shared" si="97"/>
        <v>0</v>
      </c>
      <c r="CX67" s="204">
        <f t="shared" si="97"/>
        <v>829.53</v>
      </c>
      <c r="CY67" s="204">
        <f t="shared" si="97"/>
        <v>1659.06</v>
      </c>
      <c r="CZ67" s="204">
        <f t="shared" si="97"/>
        <v>2488.59</v>
      </c>
      <c r="DA67" s="204">
        <f t="shared" si="97"/>
        <v>3318.12</v>
      </c>
    </row>
    <row r="68" spans="1:105" s="204" customFormat="1">
      <c r="A68" s="204" t="str">
        <f>Income!A82</f>
        <v>Small business/petty trading</v>
      </c>
      <c r="F68" s="204">
        <f t="shared" ref="F68:BQ68" si="98">IF(F$22&lt;=$E$24,IF(F$22&lt;=$D$24,IF(F$22&lt;=$C$24,IF(F$22&lt;=$B$24,IF(F12=0,0,IF($B34+($B$24-F$22)*F51&lt;0,0,$B34+($B$24-F$22)*F51)),$B34+(F$22-$B$24)*F51),$C34+(F$22-$C$24)*F51),$D34+(F$22-$D$24)*F51),IF($E34+(F$22-$E$24)*F51&lt;0,0,$E34+(F$22-$E$24)*F51))</f>
        <v>0</v>
      </c>
      <c r="G68" s="204">
        <f t="shared" si="98"/>
        <v>0</v>
      </c>
      <c r="H68" s="204">
        <f t="shared" si="98"/>
        <v>0</v>
      </c>
      <c r="I68" s="204">
        <f t="shared" si="98"/>
        <v>0</v>
      </c>
      <c r="J68" s="204">
        <f t="shared" si="98"/>
        <v>0</v>
      </c>
      <c r="K68" s="204">
        <f t="shared" si="98"/>
        <v>0</v>
      </c>
      <c r="L68" s="204">
        <f t="shared" si="88"/>
        <v>0</v>
      </c>
      <c r="M68" s="204">
        <f t="shared" si="98"/>
        <v>0</v>
      </c>
      <c r="N68" s="204">
        <f t="shared" si="98"/>
        <v>0</v>
      </c>
      <c r="O68" s="204">
        <f t="shared" si="98"/>
        <v>0</v>
      </c>
      <c r="P68" s="204">
        <f t="shared" si="98"/>
        <v>0</v>
      </c>
      <c r="Q68" s="204">
        <f t="shared" si="98"/>
        <v>0</v>
      </c>
      <c r="R68" s="204">
        <f t="shared" si="98"/>
        <v>0</v>
      </c>
      <c r="S68" s="204">
        <f t="shared" si="98"/>
        <v>0</v>
      </c>
      <c r="T68" s="204">
        <f t="shared" si="98"/>
        <v>0</v>
      </c>
      <c r="U68" s="204">
        <f t="shared" si="98"/>
        <v>0</v>
      </c>
      <c r="V68" s="204">
        <f t="shared" si="98"/>
        <v>0</v>
      </c>
      <c r="W68" s="204">
        <f t="shared" si="98"/>
        <v>0</v>
      </c>
      <c r="X68" s="204">
        <f t="shared" si="98"/>
        <v>0</v>
      </c>
      <c r="Y68" s="204">
        <f t="shared" si="98"/>
        <v>0</v>
      </c>
      <c r="Z68" s="204">
        <f t="shared" si="98"/>
        <v>0</v>
      </c>
      <c r="AA68" s="204">
        <f t="shared" si="98"/>
        <v>0</v>
      </c>
      <c r="AB68" s="204">
        <f t="shared" si="98"/>
        <v>0</v>
      </c>
      <c r="AC68" s="204">
        <f t="shared" si="98"/>
        <v>0</v>
      </c>
      <c r="AD68" s="204">
        <f t="shared" si="98"/>
        <v>0</v>
      </c>
      <c r="AE68" s="204">
        <f t="shared" si="98"/>
        <v>0</v>
      </c>
      <c r="AF68" s="204">
        <f t="shared" si="98"/>
        <v>0</v>
      </c>
      <c r="AG68" s="204">
        <f t="shared" si="98"/>
        <v>0</v>
      </c>
      <c r="AH68" s="204">
        <f t="shared" si="98"/>
        <v>0</v>
      </c>
      <c r="AI68" s="204">
        <f t="shared" si="98"/>
        <v>0</v>
      </c>
      <c r="AJ68" s="204">
        <f t="shared" si="98"/>
        <v>0</v>
      </c>
      <c r="AK68" s="204">
        <f t="shared" si="98"/>
        <v>0</v>
      </c>
      <c r="AL68" s="204">
        <f t="shared" si="98"/>
        <v>0</v>
      </c>
      <c r="AM68" s="204">
        <f t="shared" si="98"/>
        <v>0</v>
      </c>
      <c r="AN68" s="204">
        <f t="shared" si="98"/>
        <v>0</v>
      </c>
      <c r="AO68" s="204">
        <f t="shared" si="98"/>
        <v>0</v>
      </c>
      <c r="AP68" s="204">
        <f t="shared" si="98"/>
        <v>0</v>
      </c>
      <c r="AQ68" s="204">
        <f t="shared" si="98"/>
        <v>0</v>
      </c>
      <c r="AR68" s="204">
        <f t="shared" si="98"/>
        <v>0</v>
      </c>
      <c r="AS68" s="204">
        <f t="shared" si="98"/>
        <v>0</v>
      </c>
      <c r="AT68" s="204">
        <f t="shared" si="98"/>
        <v>0</v>
      </c>
      <c r="AU68" s="204">
        <f t="shared" si="98"/>
        <v>0</v>
      </c>
      <c r="AV68" s="204">
        <f t="shared" si="98"/>
        <v>0</v>
      </c>
      <c r="AW68" s="204">
        <f t="shared" si="98"/>
        <v>0</v>
      </c>
      <c r="AX68" s="204">
        <f t="shared" si="98"/>
        <v>0</v>
      </c>
      <c r="AY68" s="204">
        <f t="shared" si="98"/>
        <v>0</v>
      </c>
      <c r="AZ68" s="204">
        <f t="shared" si="98"/>
        <v>0</v>
      </c>
      <c r="BA68" s="204">
        <f t="shared" si="98"/>
        <v>0</v>
      </c>
      <c r="BB68" s="204">
        <f t="shared" si="98"/>
        <v>0</v>
      </c>
      <c r="BC68" s="204">
        <f t="shared" si="98"/>
        <v>0</v>
      </c>
      <c r="BD68" s="204">
        <f t="shared" si="98"/>
        <v>0</v>
      </c>
      <c r="BE68" s="204">
        <f t="shared" si="98"/>
        <v>0</v>
      </c>
      <c r="BF68" s="204">
        <f t="shared" si="98"/>
        <v>0</v>
      </c>
      <c r="BG68" s="204">
        <f t="shared" si="98"/>
        <v>0</v>
      </c>
      <c r="BH68" s="204">
        <f t="shared" si="98"/>
        <v>0</v>
      </c>
      <c r="BI68" s="204">
        <f t="shared" si="98"/>
        <v>0</v>
      </c>
      <c r="BJ68" s="204">
        <f t="shared" si="98"/>
        <v>0</v>
      </c>
      <c r="BK68" s="204">
        <f t="shared" si="98"/>
        <v>0</v>
      </c>
      <c r="BL68" s="204">
        <f t="shared" si="98"/>
        <v>0</v>
      </c>
      <c r="BM68" s="204">
        <f t="shared" si="98"/>
        <v>0</v>
      </c>
      <c r="BN68" s="204">
        <f t="shared" si="98"/>
        <v>0</v>
      </c>
      <c r="BO68" s="204">
        <f t="shared" si="98"/>
        <v>0</v>
      </c>
      <c r="BP68" s="204">
        <f t="shared" si="98"/>
        <v>0</v>
      </c>
      <c r="BQ68" s="204">
        <f t="shared" si="98"/>
        <v>325.44440962545912</v>
      </c>
      <c r="BR68" s="204">
        <f t="shared" ref="BR68:DA68" si="99">IF(BR$22&lt;=$E$24,IF(BR$22&lt;=$D$24,IF(BR$22&lt;=$C$24,IF(BR$22&lt;=$B$24,IF(BR12=0,0,IF($B34+($B$24-BR$22)*BR51&lt;0,0,$B34+($B$24-BR$22)*BR51)),$B34+(BR$22-$B$24)*BR51),$C34+(BR$22-$C$24)*BR51),$D34+(BR$22-$D$24)*BR51),IF($E34+(BR$22-$E$24)*BR51&lt;0,0,$E34+(BR$22-$E$24)*BR51))</f>
        <v>976.33322887637735</v>
      </c>
      <c r="BS68" s="204">
        <f t="shared" si="99"/>
        <v>1627.2220481272957</v>
      </c>
      <c r="BT68" s="204">
        <f t="shared" si="99"/>
        <v>2278.1108673782137</v>
      </c>
      <c r="BU68" s="204">
        <f t="shared" si="99"/>
        <v>2928.9996866291322</v>
      </c>
      <c r="BV68" s="204">
        <f t="shared" si="99"/>
        <v>3579.8885058800502</v>
      </c>
      <c r="BW68" s="204">
        <f t="shared" si="99"/>
        <v>4230.7773251309682</v>
      </c>
      <c r="BX68" s="204">
        <f t="shared" si="99"/>
        <v>4881.6661443818866</v>
      </c>
      <c r="BY68" s="204">
        <f t="shared" si="99"/>
        <v>5532.5549636328051</v>
      </c>
      <c r="BZ68" s="204">
        <f t="shared" si="99"/>
        <v>6183.4437828837235</v>
      </c>
      <c r="CA68" s="204">
        <f t="shared" si="99"/>
        <v>6834.3326021346411</v>
      </c>
      <c r="CB68" s="204">
        <f t="shared" si="99"/>
        <v>7485.2214213855596</v>
      </c>
      <c r="CC68" s="204">
        <f t="shared" si="99"/>
        <v>8136.110240636478</v>
      </c>
      <c r="CD68" s="204">
        <f t="shared" si="99"/>
        <v>8786.9990598873956</v>
      </c>
      <c r="CE68" s="204">
        <f t="shared" si="99"/>
        <v>9437.887879138314</v>
      </c>
      <c r="CF68" s="204">
        <f t="shared" si="99"/>
        <v>10088.776698389232</v>
      </c>
      <c r="CG68" s="204">
        <f t="shared" si="99"/>
        <v>10739.665517640151</v>
      </c>
      <c r="CH68" s="204">
        <f t="shared" si="99"/>
        <v>11390.554336891069</v>
      </c>
      <c r="CI68" s="204">
        <f t="shared" si="99"/>
        <v>12041.443156141988</v>
      </c>
      <c r="CJ68" s="204">
        <f t="shared" si="99"/>
        <v>12692.331975392906</v>
      </c>
      <c r="CK68" s="204">
        <f t="shared" si="99"/>
        <v>16246.082426326659</v>
      </c>
      <c r="CL68" s="204">
        <f t="shared" si="99"/>
        <v>22702.694508943248</v>
      </c>
      <c r="CM68" s="204">
        <f t="shared" si="99"/>
        <v>29159.306591559834</v>
      </c>
      <c r="CN68" s="204">
        <f t="shared" si="99"/>
        <v>35615.918674176421</v>
      </c>
      <c r="CO68" s="204">
        <f t="shared" si="99"/>
        <v>42072.530756793007</v>
      </c>
      <c r="CP68" s="204">
        <f t="shared" si="99"/>
        <v>48529.142839409593</v>
      </c>
      <c r="CQ68" s="204">
        <f t="shared" si="99"/>
        <v>54985.754922026186</v>
      </c>
      <c r="CR68" s="204">
        <f t="shared" si="99"/>
        <v>61442.367004642772</v>
      </c>
      <c r="CS68" s="204">
        <f t="shared" si="99"/>
        <v>67898.979087259358</v>
      </c>
      <c r="CT68" s="204">
        <f t="shared" si="99"/>
        <v>74355.591169875945</v>
      </c>
      <c r="CU68" s="204">
        <f t="shared" si="99"/>
        <v>80812.203252492545</v>
      </c>
      <c r="CV68" s="204">
        <f t="shared" si="99"/>
        <v>87268.815335109131</v>
      </c>
      <c r="CW68" s="204">
        <f t="shared" si="99"/>
        <v>93725.427417725718</v>
      </c>
      <c r="CX68" s="204">
        <f t="shared" si="99"/>
        <v>99928.927417725718</v>
      </c>
      <c r="CY68" s="204">
        <f t="shared" si="99"/>
        <v>106132.42741772572</v>
      </c>
      <c r="CZ68" s="204">
        <f t="shared" si="99"/>
        <v>112335.92741772572</v>
      </c>
      <c r="DA68" s="204">
        <f t="shared" si="99"/>
        <v>118539.42741772572</v>
      </c>
    </row>
    <row r="69" spans="1:105" s="204" customFormat="1">
      <c r="A69" s="204" t="str">
        <f>Income!A83</f>
        <v>Food transfer - official</v>
      </c>
      <c r="F69" s="204">
        <f t="shared" ref="F69:BQ70" si="100">IF(F$22&lt;=$E$24,IF(F$22&lt;=$D$24,IF(F$22&lt;=$C$24,IF(F$22&lt;=$B$24,IF(F13=0,0,IF($B35+($B$24-F$22)*F52&lt;0,0,$B35+($B$24-F$22)*F52)),$B35+(F$22-$B$24)*F52),$C35+(F$22-$C$24)*F52),$D35+(F$22-$D$24)*F52),IF($E35+(F$22-$E$24)*F52&lt;0,0,$E35+(F$22-$E$24)*F52))</f>
        <v>2094.7120172507834</v>
      </c>
      <c r="G69" s="204">
        <f t="shared" si="100"/>
        <v>2094.7120172507834</v>
      </c>
      <c r="H69" s="204">
        <f t="shared" si="100"/>
        <v>2094.7120172507834</v>
      </c>
      <c r="I69" s="204">
        <f t="shared" si="100"/>
        <v>2094.7120172507834</v>
      </c>
      <c r="J69" s="204">
        <f t="shared" si="100"/>
        <v>2094.7120172507834</v>
      </c>
      <c r="K69" s="204">
        <f t="shared" si="100"/>
        <v>2094.7120172507834</v>
      </c>
      <c r="L69" s="204">
        <f t="shared" si="88"/>
        <v>2094.7120172507834</v>
      </c>
      <c r="M69" s="204">
        <f t="shared" si="100"/>
        <v>2094.7120172507834</v>
      </c>
      <c r="N69" s="204">
        <f t="shared" si="100"/>
        <v>2094.7120172507834</v>
      </c>
      <c r="O69" s="204">
        <f t="shared" si="100"/>
        <v>2094.7120172507834</v>
      </c>
      <c r="P69" s="204">
        <f t="shared" si="100"/>
        <v>2094.7120172507834</v>
      </c>
      <c r="Q69" s="204">
        <f t="shared" si="100"/>
        <v>2094.7120172507834</v>
      </c>
      <c r="R69" s="204">
        <f t="shared" si="100"/>
        <v>2094.7120172507834</v>
      </c>
      <c r="S69" s="204">
        <f t="shared" si="100"/>
        <v>2094.7120172507834</v>
      </c>
      <c r="T69" s="204">
        <f t="shared" si="100"/>
        <v>2094.7120172507834</v>
      </c>
      <c r="U69" s="204">
        <f t="shared" si="100"/>
        <v>2094.7120172507834</v>
      </c>
      <c r="V69" s="204">
        <f t="shared" si="100"/>
        <v>2094.7120172507834</v>
      </c>
      <c r="W69" s="204">
        <f t="shared" si="100"/>
        <v>2094.7120172507834</v>
      </c>
      <c r="X69" s="204">
        <f t="shared" si="100"/>
        <v>2094.7120172507834</v>
      </c>
      <c r="Y69" s="204">
        <f t="shared" si="100"/>
        <v>2094.7120172507834</v>
      </c>
      <c r="Z69" s="204">
        <f t="shared" si="100"/>
        <v>2094.7120172507834</v>
      </c>
      <c r="AA69" s="204">
        <f t="shared" si="100"/>
        <v>2094.7120172507834</v>
      </c>
      <c r="AB69" s="204">
        <f t="shared" si="100"/>
        <v>2094.7120172507834</v>
      </c>
      <c r="AC69" s="204">
        <f t="shared" si="100"/>
        <v>2094.7120172507834</v>
      </c>
      <c r="AD69" s="204">
        <f t="shared" si="100"/>
        <v>2094.7120172507834</v>
      </c>
      <c r="AE69" s="204">
        <f t="shared" si="100"/>
        <v>2094.7120172507834</v>
      </c>
      <c r="AF69" s="204">
        <f t="shared" si="100"/>
        <v>2094.7120172507834</v>
      </c>
      <c r="AG69" s="204">
        <f t="shared" si="100"/>
        <v>2094.7120172507834</v>
      </c>
      <c r="AH69" s="204">
        <f t="shared" si="100"/>
        <v>2094.7120172507834</v>
      </c>
      <c r="AI69" s="204">
        <f t="shared" si="100"/>
        <v>2094.7120172507834</v>
      </c>
      <c r="AJ69" s="204">
        <f t="shared" si="100"/>
        <v>2094.7120172507834</v>
      </c>
      <c r="AK69" s="204">
        <f t="shared" si="100"/>
        <v>2094.7120172507834</v>
      </c>
      <c r="AL69" s="204">
        <f t="shared" si="100"/>
        <v>2094.7120172507834</v>
      </c>
      <c r="AM69" s="204">
        <f t="shared" si="100"/>
        <v>2094.7120172507834</v>
      </c>
      <c r="AN69" s="204">
        <f t="shared" si="100"/>
        <v>2094.7120172507834</v>
      </c>
      <c r="AO69" s="204">
        <f t="shared" si="100"/>
        <v>2094.7120172507834</v>
      </c>
      <c r="AP69" s="204">
        <f t="shared" si="100"/>
        <v>2094.7120172507834</v>
      </c>
      <c r="AQ69" s="204">
        <f t="shared" si="100"/>
        <v>2094.7120172507834</v>
      </c>
      <c r="AR69" s="204">
        <f t="shared" si="100"/>
        <v>2094.7120172507834</v>
      </c>
      <c r="AS69" s="204">
        <f t="shared" si="100"/>
        <v>2094.7120172507834</v>
      </c>
      <c r="AT69" s="204">
        <f t="shared" si="100"/>
        <v>2094.7120172507834</v>
      </c>
      <c r="AU69" s="204">
        <f t="shared" si="100"/>
        <v>2094.7120172507834</v>
      </c>
      <c r="AV69" s="204">
        <f t="shared" si="100"/>
        <v>2094.7120172507834</v>
      </c>
      <c r="AW69" s="204">
        <f t="shared" si="100"/>
        <v>2094.7120172507834</v>
      </c>
      <c r="AX69" s="204">
        <f t="shared" si="100"/>
        <v>2094.7120172507839</v>
      </c>
      <c r="AY69" s="204">
        <f t="shared" si="100"/>
        <v>2094.7120172507839</v>
      </c>
      <c r="AZ69" s="204">
        <f t="shared" si="100"/>
        <v>2094.7120172507839</v>
      </c>
      <c r="BA69" s="204">
        <f t="shared" si="100"/>
        <v>2094.7120172507839</v>
      </c>
      <c r="BB69" s="204">
        <f t="shared" si="100"/>
        <v>2094.7120172507839</v>
      </c>
      <c r="BC69" s="204">
        <f t="shared" si="100"/>
        <v>2094.7120172507839</v>
      </c>
      <c r="BD69" s="204">
        <f t="shared" si="100"/>
        <v>2094.7120172507839</v>
      </c>
      <c r="BE69" s="204">
        <f t="shared" si="100"/>
        <v>2094.7120172507839</v>
      </c>
      <c r="BF69" s="204">
        <f t="shared" si="100"/>
        <v>2094.7120172507839</v>
      </c>
      <c r="BG69" s="204">
        <f t="shared" si="100"/>
        <v>2094.7120172507839</v>
      </c>
      <c r="BH69" s="204">
        <f t="shared" si="100"/>
        <v>2094.7120172507839</v>
      </c>
      <c r="BI69" s="204">
        <f t="shared" si="100"/>
        <v>2094.7120172507839</v>
      </c>
      <c r="BJ69" s="204">
        <f t="shared" si="100"/>
        <v>2094.7120172507839</v>
      </c>
      <c r="BK69" s="204">
        <f t="shared" si="100"/>
        <v>2094.7120172507839</v>
      </c>
      <c r="BL69" s="204">
        <f t="shared" si="100"/>
        <v>2094.7120172507839</v>
      </c>
      <c r="BM69" s="204">
        <f t="shared" si="100"/>
        <v>2094.7120172507839</v>
      </c>
      <c r="BN69" s="204">
        <f t="shared" si="100"/>
        <v>2094.7120172507839</v>
      </c>
      <c r="BO69" s="204">
        <f t="shared" si="100"/>
        <v>2094.7120172507839</v>
      </c>
      <c r="BP69" s="204">
        <f t="shared" si="100"/>
        <v>2094.7120172507839</v>
      </c>
      <c r="BQ69" s="204">
        <f t="shared" si="100"/>
        <v>2094.7120172507839</v>
      </c>
      <c r="BR69" s="204">
        <f t="shared" ref="BR69:DA69" si="101">IF(BR$22&lt;=$E$24,IF(BR$22&lt;=$D$24,IF(BR$22&lt;=$C$24,IF(BR$22&lt;=$B$24,IF(BR13=0,0,IF($B35+($B$24-BR$22)*BR52&lt;0,0,$B35+($B$24-BR$22)*BR52)),$B35+(BR$22-$B$24)*BR52),$C35+(BR$22-$C$24)*BR52),$D35+(BR$22-$D$24)*BR52),IF($E35+(BR$22-$E$24)*BR52&lt;0,0,$E35+(BR$22-$E$24)*BR52))</f>
        <v>2094.7120172507839</v>
      </c>
      <c r="BS69" s="204">
        <f t="shared" si="101"/>
        <v>2094.7120172507839</v>
      </c>
      <c r="BT69" s="204">
        <f t="shared" si="101"/>
        <v>2094.7120172507839</v>
      </c>
      <c r="BU69" s="204">
        <f t="shared" si="101"/>
        <v>2094.7120172507839</v>
      </c>
      <c r="BV69" s="204">
        <f t="shared" si="101"/>
        <v>2094.7120172507839</v>
      </c>
      <c r="BW69" s="204">
        <f t="shared" si="101"/>
        <v>2094.7120172507839</v>
      </c>
      <c r="BX69" s="204">
        <f t="shared" si="101"/>
        <v>2094.7120172507839</v>
      </c>
      <c r="BY69" s="204">
        <f t="shared" si="101"/>
        <v>2094.7120172507839</v>
      </c>
      <c r="BZ69" s="204">
        <f t="shared" si="101"/>
        <v>2094.7120172507839</v>
      </c>
      <c r="CA69" s="204">
        <f t="shared" si="101"/>
        <v>2094.7120172507834</v>
      </c>
      <c r="CB69" s="204">
        <f t="shared" si="101"/>
        <v>2094.7120172507834</v>
      </c>
      <c r="CC69" s="204">
        <f t="shared" si="101"/>
        <v>2094.7120172507834</v>
      </c>
      <c r="CD69" s="204">
        <f t="shared" si="101"/>
        <v>2094.7120172507834</v>
      </c>
      <c r="CE69" s="204">
        <f t="shared" si="101"/>
        <v>2094.7120172507834</v>
      </c>
      <c r="CF69" s="204">
        <f t="shared" si="101"/>
        <v>2094.7120172507834</v>
      </c>
      <c r="CG69" s="204">
        <f t="shared" si="101"/>
        <v>2094.7120172507834</v>
      </c>
      <c r="CH69" s="204">
        <f t="shared" si="101"/>
        <v>2094.7120172507834</v>
      </c>
      <c r="CI69" s="204">
        <f t="shared" si="101"/>
        <v>2094.7120172507834</v>
      </c>
      <c r="CJ69" s="204">
        <f t="shared" si="101"/>
        <v>2094.7120172507834</v>
      </c>
      <c r="CK69" s="204">
        <f t="shared" si="101"/>
        <v>2010.9235365607522</v>
      </c>
      <c r="CL69" s="204">
        <f t="shared" si="101"/>
        <v>1843.3465751806893</v>
      </c>
      <c r="CM69" s="204">
        <f t="shared" si="101"/>
        <v>1675.7696138006268</v>
      </c>
      <c r="CN69" s="204">
        <f t="shared" si="101"/>
        <v>1508.1926524205642</v>
      </c>
      <c r="CO69" s="204">
        <f t="shared" si="101"/>
        <v>1340.6156910405016</v>
      </c>
      <c r="CP69" s="204">
        <f t="shared" si="101"/>
        <v>1173.0387296604388</v>
      </c>
      <c r="CQ69" s="204">
        <f t="shared" si="101"/>
        <v>1005.4617682803762</v>
      </c>
      <c r="CR69" s="204">
        <f t="shared" si="101"/>
        <v>837.88480690031338</v>
      </c>
      <c r="CS69" s="204">
        <f t="shared" si="101"/>
        <v>670.30784552025079</v>
      </c>
      <c r="CT69" s="204">
        <f t="shared" si="101"/>
        <v>502.73088414018798</v>
      </c>
      <c r="CU69" s="204">
        <f t="shared" si="101"/>
        <v>335.1539227601254</v>
      </c>
      <c r="CV69" s="204">
        <f t="shared" si="101"/>
        <v>167.57696138006281</v>
      </c>
      <c r="CW69" s="204">
        <f t="shared" si="101"/>
        <v>0</v>
      </c>
      <c r="CX69" s="204">
        <f t="shared" si="101"/>
        <v>14.730000000000004</v>
      </c>
      <c r="CY69" s="204">
        <f t="shared" si="101"/>
        <v>29.460000000000008</v>
      </c>
      <c r="CZ69" s="204">
        <f t="shared" si="101"/>
        <v>44.190000000000012</v>
      </c>
      <c r="DA69" s="204">
        <f t="shared" si="101"/>
        <v>58.920000000000016</v>
      </c>
    </row>
    <row r="70" spans="1:105" s="204" customFormat="1">
      <c r="A70" s="204" t="str">
        <f>Income!A85</f>
        <v>Cash transfer - official</v>
      </c>
      <c r="F70" s="204">
        <f t="shared" si="100"/>
        <v>34543.233399615659</v>
      </c>
      <c r="G70" s="204">
        <f t="shared" si="100"/>
        <v>34543.233399615659</v>
      </c>
      <c r="H70" s="204">
        <f t="shared" si="100"/>
        <v>34543.233399615659</v>
      </c>
      <c r="I70" s="204">
        <f t="shared" si="100"/>
        <v>34543.233399615659</v>
      </c>
      <c r="J70" s="204">
        <f t="shared" si="100"/>
        <v>34543.233399615659</v>
      </c>
      <c r="K70" s="204">
        <f t="shared" si="100"/>
        <v>34543.233399615659</v>
      </c>
      <c r="L70" s="204">
        <f t="shared" si="100"/>
        <v>34543.233399615659</v>
      </c>
      <c r="M70" s="204">
        <f t="shared" si="100"/>
        <v>34543.233399615659</v>
      </c>
      <c r="N70" s="204">
        <f t="shared" si="100"/>
        <v>34543.233399615659</v>
      </c>
      <c r="O70" s="204">
        <f t="shared" si="100"/>
        <v>34543.233399615659</v>
      </c>
      <c r="P70" s="204">
        <f t="shared" si="100"/>
        <v>34543.233399615659</v>
      </c>
      <c r="Q70" s="204">
        <f t="shared" si="100"/>
        <v>34543.233399615659</v>
      </c>
      <c r="R70" s="204">
        <f t="shared" si="100"/>
        <v>34543.233399615659</v>
      </c>
      <c r="S70" s="204">
        <f t="shared" si="100"/>
        <v>34543.233399615659</v>
      </c>
      <c r="T70" s="204">
        <f t="shared" si="100"/>
        <v>34543.233399615659</v>
      </c>
      <c r="U70" s="204">
        <f t="shared" si="100"/>
        <v>34543.233399615659</v>
      </c>
      <c r="V70" s="204">
        <f t="shared" si="100"/>
        <v>34543.233399615659</v>
      </c>
      <c r="W70" s="204">
        <f t="shared" si="100"/>
        <v>34543.233399615659</v>
      </c>
      <c r="X70" s="204">
        <f t="shared" si="100"/>
        <v>34543.233399615659</v>
      </c>
      <c r="Y70" s="204">
        <f t="shared" si="100"/>
        <v>34543.233399615659</v>
      </c>
      <c r="Z70" s="204">
        <f t="shared" si="100"/>
        <v>34543.233399615659</v>
      </c>
      <c r="AA70" s="204">
        <f t="shared" si="100"/>
        <v>34543.233399615659</v>
      </c>
      <c r="AB70" s="204">
        <f t="shared" si="100"/>
        <v>34543.233399615659</v>
      </c>
      <c r="AC70" s="204">
        <f t="shared" si="100"/>
        <v>34543.233399615659</v>
      </c>
      <c r="AD70" s="204">
        <f t="shared" si="100"/>
        <v>34543.233399615659</v>
      </c>
      <c r="AE70" s="204">
        <f t="shared" si="100"/>
        <v>34543.233399615659</v>
      </c>
      <c r="AF70" s="204">
        <f t="shared" si="100"/>
        <v>34499.840811665599</v>
      </c>
      <c r="AG70" s="204">
        <f t="shared" si="100"/>
        <v>34456.448223715539</v>
      </c>
      <c r="AH70" s="204">
        <f t="shared" si="100"/>
        <v>34413.055635765479</v>
      </c>
      <c r="AI70" s="204">
        <f t="shared" si="100"/>
        <v>34369.663047815411</v>
      </c>
      <c r="AJ70" s="204">
        <f t="shared" si="100"/>
        <v>34326.270459865351</v>
      </c>
      <c r="AK70" s="204">
        <f t="shared" si="100"/>
        <v>34282.877871915291</v>
      </c>
      <c r="AL70" s="204">
        <f t="shared" si="100"/>
        <v>34239.48528396523</v>
      </c>
      <c r="AM70" s="204">
        <f t="shared" si="100"/>
        <v>34196.09269601517</v>
      </c>
      <c r="AN70" s="204">
        <f t="shared" si="100"/>
        <v>34152.70010806511</v>
      </c>
      <c r="AO70" s="204">
        <f t="shared" si="100"/>
        <v>34109.30752011505</v>
      </c>
      <c r="AP70" s="204">
        <f t="shared" si="100"/>
        <v>34065.914932164989</v>
      </c>
      <c r="AQ70" s="204">
        <f t="shared" si="100"/>
        <v>34022.522344214922</v>
      </c>
      <c r="AR70" s="204">
        <f t="shared" si="100"/>
        <v>33979.129756264861</v>
      </c>
      <c r="AS70" s="204">
        <f t="shared" si="100"/>
        <v>33935.737168314801</v>
      </c>
      <c r="AT70" s="204">
        <f t="shared" si="100"/>
        <v>33892.344580364741</v>
      </c>
      <c r="AU70" s="204">
        <f t="shared" si="100"/>
        <v>33848.951992414681</v>
      </c>
      <c r="AV70" s="204">
        <f t="shared" si="100"/>
        <v>33805.55940446462</v>
      </c>
      <c r="AW70" s="204">
        <f t="shared" si="100"/>
        <v>33762.16681651456</v>
      </c>
      <c r="AX70" s="204">
        <f t="shared" si="100"/>
        <v>33718.774228564493</v>
      </c>
      <c r="AY70" s="204">
        <f t="shared" si="100"/>
        <v>33675.381640614432</v>
      </c>
      <c r="AZ70" s="204">
        <f t="shared" si="100"/>
        <v>33631.989052664372</v>
      </c>
      <c r="BA70" s="204">
        <f t="shared" si="100"/>
        <v>33588.596464714312</v>
      </c>
      <c r="BB70" s="204">
        <f t="shared" si="100"/>
        <v>33545.203876764252</v>
      </c>
      <c r="BC70" s="204">
        <f t="shared" si="100"/>
        <v>33501.811288814191</v>
      </c>
      <c r="BD70" s="204">
        <f t="shared" si="100"/>
        <v>33458.418700864131</v>
      </c>
      <c r="BE70" s="204">
        <f t="shared" si="100"/>
        <v>33415.026112914071</v>
      </c>
      <c r="BF70" s="204">
        <f t="shared" si="100"/>
        <v>33371.633524964003</v>
      </c>
      <c r="BG70" s="204">
        <f t="shared" si="100"/>
        <v>33328.240937013943</v>
      </c>
      <c r="BH70" s="204">
        <f t="shared" si="100"/>
        <v>33284.848349063883</v>
      </c>
      <c r="BI70" s="204">
        <f t="shared" si="100"/>
        <v>33241.455761113823</v>
      </c>
      <c r="BJ70" s="204">
        <f t="shared" si="100"/>
        <v>33198.063173163762</v>
      </c>
      <c r="BK70" s="204">
        <f t="shared" si="100"/>
        <v>33154.670585213702</v>
      </c>
      <c r="BL70" s="204">
        <f t="shared" si="100"/>
        <v>33111.277997263642</v>
      </c>
      <c r="BM70" s="204">
        <f t="shared" si="100"/>
        <v>33067.885409313574</v>
      </c>
      <c r="BN70" s="204">
        <f t="shared" si="100"/>
        <v>33024.492821363514</v>
      </c>
      <c r="BO70" s="204">
        <f t="shared" si="100"/>
        <v>32981.100233413454</v>
      </c>
      <c r="BP70" s="204">
        <f t="shared" si="100"/>
        <v>32937.707645463393</v>
      </c>
      <c r="BQ70" s="204">
        <f t="shared" si="100"/>
        <v>32093.111067701153</v>
      </c>
      <c r="BR70" s="204">
        <f t="shared" ref="BR70:DA70" si="102">IF(BR$22&lt;=$E$24,IF(BR$22&lt;=$D$24,IF(BR$22&lt;=$C$24,IF(BR$22&lt;=$B$24,IF(BR14=0,0,IF($B36+($B$24-BR$22)*BR53&lt;0,0,$B36+($B$24-BR$22)*BR53)),$B36+(BR$22-$B$24)*BR53),$C36+(BR$22-$C$24)*BR53),$D36+(BR$22-$D$24)*BR53),IF($E36+(BR$22-$E$24)*BR53&lt;0,0,$E36+(BR$22-$E$24)*BR53))</f>
        <v>30447.310500126736</v>
      </c>
      <c r="BS70" s="204">
        <f t="shared" si="102"/>
        <v>28801.509932552319</v>
      </c>
      <c r="BT70" s="204">
        <f t="shared" si="102"/>
        <v>27155.709364977898</v>
      </c>
      <c r="BU70" s="204">
        <f t="shared" si="102"/>
        <v>25509.908797403481</v>
      </c>
      <c r="BV70" s="204">
        <f t="shared" si="102"/>
        <v>23864.108229829064</v>
      </c>
      <c r="BW70" s="204">
        <f t="shared" si="102"/>
        <v>22218.307662254643</v>
      </c>
      <c r="BX70" s="204">
        <f t="shared" si="102"/>
        <v>20572.507094680226</v>
      </c>
      <c r="BY70" s="204">
        <f t="shared" si="102"/>
        <v>18926.706527105809</v>
      </c>
      <c r="BZ70" s="204">
        <f t="shared" si="102"/>
        <v>17280.905959531388</v>
      </c>
      <c r="CA70" s="204">
        <f t="shared" si="102"/>
        <v>15635.105391956971</v>
      </c>
      <c r="CB70" s="204">
        <f t="shared" si="102"/>
        <v>13989.304824382554</v>
      </c>
      <c r="CC70" s="204">
        <f t="shared" si="102"/>
        <v>12343.504256808137</v>
      </c>
      <c r="CD70" s="204">
        <f t="shared" si="102"/>
        <v>10697.703689233716</v>
      </c>
      <c r="CE70" s="204">
        <f t="shared" si="102"/>
        <v>9051.9031216592994</v>
      </c>
      <c r="CF70" s="204">
        <f t="shared" si="102"/>
        <v>7406.1025540848823</v>
      </c>
      <c r="CG70" s="204">
        <f t="shared" si="102"/>
        <v>5760.3019865104616</v>
      </c>
      <c r="CH70" s="204">
        <f t="shared" si="102"/>
        <v>4114.5014189360445</v>
      </c>
      <c r="CI70" s="204">
        <f t="shared" si="102"/>
        <v>2468.7008513616274</v>
      </c>
      <c r="CJ70" s="204">
        <f t="shared" si="102"/>
        <v>822.90028378720672</v>
      </c>
      <c r="CK70" s="204">
        <f t="shared" si="102"/>
        <v>455.62217347564268</v>
      </c>
      <c r="CL70" s="204">
        <f t="shared" si="102"/>
        <v>1366.866520426928</v>
      </c>
      <c r="CM70" s="204">
        <f t="shared" si="102"/>
        <v>2278.1108673782132</v>
      </c>
      <c r="CN70" s="204">
        <f t="shared" si="102"/>
        <v>3189.3552143294987</v>
      </c>
      <c r="CO70" s="204">
        <f t="shared" si="102"/>
        <v>4100.5995612807837</v>
      </c>
      <c r="CP70" s="204">
        <f t="shared" si="102"/>
        <v>5011.8439082320692</v>
      </c>
      <c r="CQ70" s="204">
        <f t="shared" si="102"/>
        <v>5923.0882551833547</v>
      </c>
      <c r="CR70" s="204">
        <f t="shared" si="102"/>
        <v>6834.3326021346402</v>
      </c>
      <c r="CS70" s="204">
        <f t="shared" si="102"/>
        <v>7745.5769490859257</v>
      </c>
      <c r="CT70" s="204">
        <f t="shared" si="102"/>
        <v>8656.8212960372111</v>
      </c>
      <c r="CU70" s="204">
        <f t="shared" si="102"/>
        <v>9568.0656429884966</v>
      </c>
      <c r="CV70" s="204">
        <f t="shared" si="102"/>
        <v>10479.309989939782</v>
      </c>
      <c r="CW70" s="204">
        <f t="shared" si="102"/>
        <v>11390.554336891068</v>
      </c>
      <c r="CX70" s="204">
        <f t="shared" si="102"/>
        <v>10262.724336891068</v>
      </c>
      <c r="CY70" s="204">
        <f t="shared" si="102"/>
        <v>9134.8943368910677</v>
      </c>
      <c r="CZ70" s="204">
        <f t="shared" si="102"/>
        <v>8007.0643368910678</v>
      </c>
      <c r="DA70" s="204">
        <f t="shared" si="102"/>
        <v>6879.2343368910679</v>
      </c>
    </row>
    <row r="71" spans="1:105" s="204" customFormat="1">
      <c r="A71" s="204" t="str">
        <f>Income!A86</f>
        <v>Cash transfer - gifts</v>
      </c>
      <c r="F71" s="204">
        <f t="shared" ref="F71:BQ71" si="103">IF(F$22&lt;=$E$24,IF(F$22&lt;=$D$24,IF(F$22&lt;=$C$24,IF(F$22&lt;=$B$24,IF(F15=0,0,IF($B37+($B$24-F$22)*F54&lt;0,0,$B37+($B$24-F$22)*F54)),$B37+(F$22-$B$24)*F54),$C37+(F$22-$C$24)*F54),$D37+(F$22-$D$24)*F54),IF($E37+(F$22-$E$24)*F54&lt;0,0,$E37+(F$22-$E$24)*F54))</f>
        <v>0</v>
      </c>
      <c r="G71" s="204">
        <f t="shared" si="103"/>
        <v>0</v>
      </c>
      <c r="H71" s="204">
        <f t="shared" si="103"/>
        <v>0</v>
      </c>
      <c r="I71" s="204">
        <f t="shared" si="103"/>
        <v>0</v>
      </c>
      <c r="J71" s="204">
        <f t="shared" si="103"/>
        <v>0</v>
      </c>
      <c r="K71" s="204">
        <f t="shared" si="103"/>
        <v>0</v>
      </c>
      <c r="L71" s="204">
        <f>IF(L$22&lt;=$E$24,IF(L$22&lt;=$D$24,IF(L$22&lt;=$C$24,IF(L$22&lt;=$B$24,IF(L15=0,0,IF($B37+($B$24-L$22)*L54&lt;0,0,$B37+($B$24-L$22)*L54)),$B37+(L$22-$B$24)*L54),$C37+(L$22-$C$24)*L54),$D37+(L$22-$D$24)*L54),IF($E37+(L$22-$E$24)*L54&lt;0,0,$E37+(L$22-$E$24)*L54))</f>
        <v>0</v>
      </c>
      <c r="M71" s="204">
        <f t="shared" si="103"/>
        <v>0</v>
      </c>
      <c r="N71" s="204">
        <f t="shared" si="103"/>
        <v>0</v>
      </c>
      <c r="O71" s="204">
        <f t="shared" si="103"/>
        <v>0</v>
      </c>
      <c r="P71" s="204">
        <f t="shared" si="103"/>
        <v>0</v>
      </c>
      <c r="Q71" s="204">
        <f t="shared" si="103"/>
        <v>0</v>
      </c>
      <c r="R71" s="204">
        <f t="shared" si="103"/>
        <v>0</v>
      </c>
      <c r="S71" s="204">
        <f t="shared" si="103"/>
        <v>0</v>
      </c>
      <c r="T71" s="204">
        <f t="shared" si="103"/>
        <v>0</v>
      </c>
      <c r="U71" s="204">
        <f t="shared" si="103"/>
        <v>0</v>
      </c>
      <c r="V71" s="204">
        <f t="shared" si="103"/>
        <v>0</v>
      </c>
      <c r="W71" s="204">
        <f t="shared" si="103"/>
        <v>0</v>
      </c>
      <c r="X71" s="204">
        <f t="shared" si="103"/>
        <v>0</v>
      </c>
      <c r="Y71" s="204">
        <f t="shared" si="103"/>
        <v>0</v>
      </c>
      <c r="Z71" s="204">
        <f t="shared" si="103"/>
        <v>0</v>
      </c>
      <c r="AA71" s="204">
        <f t="shared" si="103"/>
        <v>0</v>
      </c>
      <c r="AB71" s="204">
        <f t="shared" si="103"/>
        <v>0</v>
      </c>
      <c r="AC71" s="204">
        <f t="shared" si="103"/>
        <v>0</v>
      </c>
      <c r="AD71" s="204">
        <f t="shared" si="103"/>
        <v>0</v>
      </c>
      <c r="AE71" s="204">
        <f t="shared" si="103"/>
        <v>0</v>
      </c>
      <c r="AF71" s="204">
        <f t="shared" si="103"/>
        <v>0</v>
      </c>
      <c r="AG71" s="204">
        <f t="shared" si="103"/>
        <v>0</v>
      </c>
      <c r="AH71" s="204">
        <f t="shared" si="103"/>
        <v>0</v>
      </c>
      <c r="AI71" s="204">
        <f t="shared" si="103"/>
        <v>0</v>
      </c>
      <c r="AJ71" s="204">
        <f t="shared" si="103"/>
        <v>0</v>
      </c>
      <c r="AK71" s="204">
        <f t="shared" si="103"/>
        <v>0</v>
      </c>
      <c r="AL71" s="204">
        <f t="shared" si="103"/>
        <v>0</v>
      </c>
      <c r="AM71" s="204">
        <f t="shared" si="103"/>
        <v>0</v>
      </c>
      <c r="AN71" s="204">
        <f t="shared" si="103"/>
        <v>0</v>
      </c>
      <c r="AO71" s="204">
        <f t="shared" si="103"/>
        <v>0</v>
      </c>
      <c r="AP71" s="204">
        <f t="shared" si="103"/>
        <v>0</v>
      </c>
      <c r="AQ71" s="204">
        <f t="shared" si="103"/>
        <v>0</v>
      </c>
      <c r="AR71" s="204">
        <f t="shared" si="103"/>
        <v>0</v>
      </c>
      <c r="AS71" s="204">
        <f t="shared" si="103"/>
        <v>0</v>
      </c>
      <c r="AT71" s="204">
        <f t="shared" si="103"/>
        <v>0</v>
      </c>
      <c r="AU71" s="204">
        <f t="shared" si="103"/>
        <v>0</v>
      </c>
      <c r="AV71" s="204">
        <f t="shared" si="103"/>
        <v>0</v>
      </c>
      <c r="AW71" s="204">
        <f t="shared" si="103"/>
        <v>0</v>
      </c>
      <c r="AX71" s="204">
        <f t="shared" si="103"/>
        <v>0</v>
      </c>
      <c r="AY71" s="204">
        <f t="shared" si="103"/>
        <v>0</v>
      </c>
      <c r="AZ71" s="204">
        <f t="shared" si="103"/>
        <v>0</v>
      </c>
      <c r="BA71" s="204">
        <f t="shared" si="103"/>
        <v>0</v>
      </c>
      <c r="BB71" s="204">
        <f t="shared" si="103"/>
        <v>0</v>
      </c>
      <c r="BC71" s="204">
        <f t="shared" si="103"/>
        <v>0</v>
      </c>
      <c r="BD71" s="204">
        <f t="shared" si="103"/>
        <v>0</v>
      </c>
      <c r="BE71" s="204">
        <f t="shared" si="103"/>
        <v>0</v>
      </c>
      <c r="BF71" s="204">
        <f t="shared" si="103"/>
        <v>0</v>
      </c>
      <c r="BG71" s="204">
        <f t="shared" si="103"/>
        <v>0</v>
      </c>
      <c r="BH71" s="204">
        <f t="shared" si="103"/>
        <v>0</v>
      </c>
      <c r="BI71" s="204">
        <f t="shared" si="103"/>
        <v>0</v>
      </c>
      <c r="BJ71" s="204">
        <f t="shared" si="103"/>
        <v>0</v>
      </c>
      <c r="BK71" s="204">
        <f t="shared" si="103"/>
        <v>0</v>
      </c>
      <c r="BL71" s="204">
        <f t="shared" si="103"/>
        <v>0</v>
      </c>
      <c r="BM71" s="204">
        <f t="shared" si="103"/>
        <v>0</v>
      </c>
      <c r="BN71" s="204">
        <f t="shared" si="103"/>
        <v>0</v>
      </c>
      <c r="BO71" s="204">
        <f t="shared" si="103"/>
        <v>0</v>
      </c>
      <c r="BP71" s="204">
        <f t="shared" si="103"/>
        <v>0</v>
      </c>
      <c r="BQ71" s="204">
        <f t="shared" si="103"/>
        <v>512.51088129993559</v>
      </c>
      <c r="BR71" s="204">
        <f>IF(BR$22&lt;=$E$24,IF(BR$22&lt;=$D$24,IF(BR$22&lt;=$C$24,IF(BR$22&lt;=$B$24,IF(BR15=0,0,IF($B37+($B$24-BR$22)*BR54&lt;0,0,$B37+($B$24-BR$22)*BR54)),$B37+(BR$22-$B$24)*BR54),$C37+(BR$22-$C$24)*BR54),$D37+(BR$22-$D$24)*BR54),IF($E37+(BR$22-$E$24)*BR54&lt;0,0,$E37+(BR$22-$E$24)*BR54))</f>
        <v>1537.5326438998068</v>
      </c>
      <c r="BS71" s="204">
        <f>IF(BS$22&lt;=$E$24,IF(BS$22&lt;=$D$24,IF(BS$22&lt;=$C$24,IF(BS$22&lt;=$B$24,IF(BS15=0,0,IF($B37+($B$24-BS$22)*BS54&lt;0,0,$B37+($B$24-BS$22)*BS54)),$B37+(BS$22-$B$24)*BS54),$C37+(BS$22-$C$24)*BS54),$D37+(BS$22-$D$24)*BS54),IF($E37+(BS$22-$E$24)*BS54&lt;0,0,$E37+(BS$22-$E$24)*BS54))</f>
        <v>2562.554406499678</v>
      </c>
      <c r="BT71" s="204">
        <f>IF(BT$22&lt;=$E$24,IF(BT$22&lt;=$D$24,IF(BT$22&lt;=$C$24,IF(BT$22&lt;=$B$24,IF(BT15=0,0,IF($B37+($B$24-BT$22)*BT54&lt;0,0,$B37+($B$24-BT$22)*BT54)),$B37+(BT$22-$B$24)*BT54),$C37+(BT$22-$C$24)*BT54),$D37+(BT$22-$D$24)*BT54),IF($E37+(BT$22-$E$24)*BT54&lt;0,0,$E37+(BT$22-$E$24)*BT54))</f>
        <v>3587.5761690995491</v>
      </c>
      <c r="BU71" s="204">
        <f t="shared" ref="BU71:DA71" si="104">IF(BU$22&lt;=$E$24,IF(BU$22&lt;=$D$24,IF(BU$22&lt;=$C$24,IF(BU$22&lt;=$B$24,IF(BU15=0,0,IF($B37+($B$24-BU$22)*BU54&lt;0,0,$B37+($B$24-BU$22)*BU54)),$B37+(BU$22-$B$24)*BU54),$C37+(BU$22-$C$24)*BU54),$D37+(BU$22-$D$24)*BU54),IF($E37+(BU$22-$E$24)*BU54&lt;0,0,$E37+(BU$22-$E$24)*BU54))</f>
        <v>4612.5979316994199</v>
      </c>
      <c r="BV71" s="204">
        <f t="shared" si="104"/>
        <v>5637.619694299292</v>
      </c>
      <c r="BW71" s="204">
        <f t="shared" si="104"/>
        <v>6662.6414568991622</v>
      </c>
      <c r="BX71" s="204">
        <f t="shared" si="104"/>
        <v>7687.6632194990343</v>
      </c>
      <c r="BY71" s="204">
        <f t="shared" si="104"/>
        <v>8712.6849820989046</v>
      </c>
      <c r="BZ71" s="204">
        <f t="shared" si="104"/>
        <v>9737.7067446987767</v>
      </c>
      <c r="CA71" s="204">
        <f t="shared" si="104"/>
        <v>10762.728507298647</v>
      </c>
      <c r="CB71" s="204">
        <f t="shared" si="104"/>
        <v>11787.750269898519</v>
      </c>
      <c r="CC71" s="204">
        <f t="shared" si="104"/>
        <v>12812.772032498389</v>
      </c>
      <c r="CD71" s="204">
        <f t="shared" si="104"/>
        <v>13837.793795098261</v>
      </c>
      <c r="CE71" s="204">
        <f t="shared" si="104"/>
        <v>14862.815557698132</v>
      </c>
      <c r="CF71" s="204">
        <f t="shared" si="104"/>
        <v>15887.837320298004</v>
      </c>
      <c r="CG71" s="204">
        <f t="shared" si="104"/>
        <v>16912.859082897874</v>
      </c>
      <c r="CH71" s="204">
        <f t="shared" si="104"/>
        <v>17937.880845497744</v>
      </c>
      <c r="CI71" s="204">
        <f t="shared" si="104"/>
        <v>18962.902608097618</v>
      </c>
      <c r="CJ71" s="204">
        <f t="shared" si="104"/>
        <v>19987.924370697488</v>
      </c>
      <c r="CK71" s="204">
        <f t="shared" si="104"/>
        <v>21237.425899306731</v>
      </c>
      <c r="CL71" s="204">
        <f t="shared" si="104"/>
        <v>22711.407193925344</v>
      </c>
      <c r="CM71" s="204">
        <f t="shared" si="104"/>
        <v>24185.388488543962</v>
      </c>
      <c r="CN71" s="204">
        <f t="shared" si="104"/>
        <v>25659.369783162576</v>
      </c>
      <c r="CO71" s="204">
        <f t="shared" si="104"/>
        <v>27133.35107778119</v>
      </c>
      <c r="CP71" s="204">
        <f t="shared" si="104"/>
        <v>28607.332372399804</v>
      </c>
      <c r="CQ71" s="204">
        <f t="shared" si="104"/>
        <v>30081.313667018418</v>
      </c>
      <c r="CR71" s="204">
        <f t="shared" si="104"/>
        <v>31555.294961637035</v>
      </c>
      <c r="CS71" s="204">
        <f t="shared" si="104"/>
        <v>33029.276256255645</v>
      </c>
      <c r="CT71" s="204">
        <f t="shared" si="104"/>
        <v>34503.257550874267</v>
      </c>
      <c r="CU71" s="204">
        <f t="shared" si="104"/>
        <v>35977.238845492881</v>
      </c>
      <c r="CV71" s="204">
        <f t="shared" si="104"/>
        <v>37451.220140111494</v>
      </c>
      <c r="CW71" s="204">
        <f t="shared" si="104"/>
        <v>38925.201434730108</v>
      </c>
      <c r="CX71" s="204">
        <f t="shared" si="104"/>
        <v>39221.53143473011</v>
      </c>
      <c r="CY71" s="204">
        <f t="shared" si="104"/>
        <v>39517.861434730112</v>
      </c>
      <c r="CZ71" s="204">
        <f t="shared" si="104"/>
        <v>39814.191434730106</v>
      </c>
      <c r="DA71" s="204">
        <f t="shared" si="104"/>
        <v>40110.521434730108</v>
      </c>
    </row>
    <row r="72" spans="1:105" s="204" customFormat="1">
      <c r="A72" s="204" t="str">
        <f>Income!A88</f>
        <v>TOTAL</v>
      </c>
      <c r="F72" s="204">
        <f>SUM(F59:F71)</f>
        <v>51313.710785378913</v>
      </c>
      <c r="G72" s="204">
        <f t="shared" ref="G72:BR72" si="105">SUM(G59:G71)</f>
        <v>51313.710785378913</v>
      </c>
      <c r="H72" s="204">
        <f t="shared" si="105"/>
        <v>51313.710785378913</v>
      </c>
      <c r="I72" s="204">
        <f t="shared" si="105"/>
        <v>51313.710785378913</v>
      </c>
      <c r="J72" s="204">
        <f t="shared" si="105"/>
        <v>51313.710785378913</v>
      </c>
      <c r="K72" s="204">
        <f t="shared" si="105"/>
        <v>51313.710785378913</v>
      </c>
      <c r="L72" s="204">
        <f t="shared" si="105"/>
        <v>51313.710785378913</v>
      </c>
      <c r="M72" s="204">
        <f t="shared" si="105"/>
        <v>51313.710785378913</v>
      </c>
      <c r="N72" s="204">
        <f t="shared" si="105"/>
        <v>51313.710785378913</v>
      </c>
      <c r="O72" s="204">
        <f t="shared" si="105"/>
        <v>51313.710785378913</v>
      </c>
      <c r="P72" s="204">
        <f t="shared" si="105"/>
        <v>51313.710785378913</v>
      </c>
      <c r="Q72" s="204">
        <f t="shared" si="105"/>
        <v>51313.710785378913</v>
      </c>
      <c r="R72" s="204">
        <f t="shared" si="105"/>
        <v>51313.710785378913</v>
      </c>
      <c r="S72" s="204">
        <f t="shared" si="105"/>
        <v>51313.710785378913</v>
      </c>
      <c r="T72" s="204">
        <f t="shared" si="105"/>
        <v>51313.710785378913</v>
      </c>
      <c r="U72" s="204">
        <f t="shared" si="105"/>
        <v>51313.710785378913</v>
      </c>
      <c r="V72" s="204">
        <f t="shared" si="105"/>
        <v>51313.710785378913</v>
      </c>
      <c r="W72" s="204">
        <f t="shared" si="105"/>
        <v>51313.710785378913</v>
      </c>
      <c r="X72" s="204">
        <f t="shared" si="105"/>
        <v>51313.710785378913</v>
      </c>
      <c r="Y72" s="204">
        <f t="shared" si="105"/>
        <v>51313.710785378913</v>
      </c>
      <c r="Z72" s="204">
        <f t="shared" si="105"/>
        <v>51313.710785378913</v>
      </c>
      <c r="AA72" s="204">
        <f t="shared" si="105"/>
        <v>51313.710785378913</v>
      </c>
      <c r="AB72" s="204">
        <f t="shared" si="105"/>
        <v>51313.710785378913</v>
      </c>
      <c r="AC72" s="204">
        <f t="shared" si="105"/>
        <v>51313.710785378913</v>
      </c>
      <c r="AD72" s="204">
        <f t="shared" si="105"/>
        <v>51313.710785378913</v>
      </c>
      <c r="AE72" s="204">
        <f t="shared" si="105"/>
        <v>51313.710785378913</v>
      </c>
      <c r="AF72" s="204">
        <f t="shared" si="105"/>
        <v>51662.040738010153</v>
      </c>
      <c r="AG72" s="204">
        <f t="shared" si="105"/>
        <v>52010.370690641394</v>
      </c>
      <c r="AH72" s="204">
        <f t="shared" si="105"/>
        <v>52358.700643272634</v>
      </c>
      <c r="AI72" s="204">
        <f t="shared" si="105"/>
        <v>52707.030595903867</v>
      </c>
      <c r="AJ72" s="204">
        <f t="shared" si="105"/>
        <v>53055.360548535115</v>
      </c>
      <c r="AK72" s="204">
        <f t="shared" si="105"/>
        <v>53403.690501166348</v>
      </c>
      <c r="AL72" s="204">
        <f t="shared" si="105"/>
        <v>53752.020453797595</v>
      </c>
      <c r="AM72" s="204">
        <f t="shared" si="105"/>
        <v>54100.350406428835</v>
      </c>
      <c r="AN72" s="204">
        <f t="shared" si="105"/>
        <v>54448.680359060076</v>
      </c>
      <c r="AO72" s="204">
        <f t="shared" si="105"/>
        <v>54797.010311691323</v>
      </c>
      <c r="AP72" s="204">
        <f t="shared" si="105"/>
        <v>55145.340264322556</v>
      </c>
      <c r="AQ72" s="204">
        <f t="shared" si="105"/>
        <v>55493.670216953789</v>
      </c>
      <c r="AR72" s="204">
        <f t="shared" si="105"/>
        <v>55842.000169585037</v>
      </c>
      <c r="AS72" s="204">
        <f t="shared" si="105"/>
        <v>56190.33012221627</v>
      </c>
      <c r="AT72" s="204">
        <f t="shared" si="105"/>
        <v>56538.660074847518</v>
      </c>
      <c r="AU72" s="204">
        <f t="shared" si="105"/>
        <v>56886.990027478751</v>
      </c>
      <c r="AV72" s="204">
        <f t="shared" si="105"/>
        <v>57235.319980109998</v>
      </c>
      <c r="AW72" s="204">
        <f t="shared" si="105"/>
        <v>57583.649932741246</v>
      </c>
      <c r="AX72" s="204">
        <f t="shared" si="105"/>
        <v>57931.979885372479</v>
      </c>
      <c r="AY72" s="204">
        <f t="shared" si="105"/>
        <v>58280.309838003719</v>
      </c>
      <c r="AZ72" s="204">
        <f t="shared" si="105"/>
        <v>58628.639790634959</v>
      </c>
      <c r="BA72" s="204">
        <f t="shared" si="105"/>
        <v>58976.9697432662</v>
      </c>
      <c r="BB72" s="204">
        <f t="shared" si="105"/>
        <v>59325.29969589744</v>
      </c>
      <c r="BC72" s="204">
        <f t="shared" si="105"/>
        <v>59673.62964852868</v>
      </c>
      <c r="BD72" s="204">
        <f t="shared" si="105"/>
        <v>60021.959601159921</v>
      </c>
      <c r="BE72" s="204">
        <f t="shared" si="105"/>
        <v>60370.289553791161</v>
      </c>
      <c r="BF72" s="204">
        <f t="shared" si="105"/>
        <v>60718.619506422394</v>
      </c>
      <c r="BG72" s="204">
        <f t="shared" si="105"/>
        <v>61066.949459053641</v>
      </c>
      <c r="BH72" s="204">
        <f t="shared" si="105"/>
        <v>61415.279411684882</v>
      </c>
      <c r="BI72" s="204">
        <f t="shared" si="105"/>
        <v>61763.609364316122</v>
      </c>
      <c r="BJ72" s="204">
        <f t="shared" si="105"/>
        <v>62111.939316947362</v>
      </c>
      <c r="BK72" s="204">
        <f t="shared" si="105"/>
        <v>62460.269269578603</v>
      </c>
      <c r="BL72" s="204">
        <f t="shared" si="105"/>
        <v>62808.599222209843</v>
      </c>
      <c r="BM72" s="204">
        <f t="shared" si="105"/>
        <v>63156.929174841083</v>
      </c>
      <c r="BN72" s="204">
        <f t="shared" si="105"/>
        <v>63505.259127472316</v>
      </c>
      <c r="BO72" s="204">
        <f t="shared" si="105"/>
        <v>63853.589080103564</v>
      </c>
      <c r="BP72" s="204">
        <f t="shared" si="105"/>
        <v>64201.919032734797</v>
      </c>
      <c r="BQ72" s="204">
        <f t="shared" si="105"/>
        <v>66641.550986422662</v>
      </c>
      <c r="BR72" s="204">
        <f t="shared" si="105"/>
        <v>71172.48494116716</v>
      </c>
      <c r="BS72" s="204">
        <f t="shared" ref="BS72:DA72" si="106">SUM(BS59:BS71)</f>
        <v>75703.418895911658</v>
      </c>
      <c r="BT72" s="204">
        <f t="shared" si="106"/>
        <v>80234.352850656156</v>
      </c>
      <c r="BU72" s="204">
        <f t="shared" si="106"/>
        <v>84765.286805400654</v>
      </c>
      <c r="BV72" s="204">
        <f t="shared" si="106"/>
        <v>89296.220760145152</v>
      </c>
      <c r="BW72" s="204">
        <f t="shared" si="106"/>
        <v>93827.154714889635</v>
      </c>
      <c r="BX72" s="204">
        <f t="shared" si="106"/>
        <v>98358.088669634148</v>
      </c>
      <c r="BY72" s="204">
        <f t="shared" si="106"/>
        <v>102889.02262437863</v>
      </c>
      <c r="BZ72" s="204">
        <f t="shared" si="106"/>
        <v>107419.95657912313</v>
      </c>
      <c r="CA72" s="204">
        <f t="shared" si="106"/>
        <v>111950.89053386761</v>
      </c>
      <c r="CB72" s="204">
        <f t="shared" si="106"/>
        <v>116481.82448861211</v>
      </c>
      <c r="CC72" s="204">
        <f t="shared" si="106"/>
        <v>121012.75844335661</v>
      </c>
      <c r="CD72" s="204">
        <f t="shared" si="106"/>
        <v>125543.69239810111</v>
      </c>
      <c r="CE72" s="204">
        <f t="shared" si="106"/>
        <v>130074.62635284562</v>
      </c>
      <c r="CF72" s="204">
        <f t="shared" si="106"/>
        <v>134605.56030759012</v>
      </c>
      <c r="CG72" s="204">
        <f t="shared" si="106"/>
        <v>139136.4942623346</v>
      </c>
      <c r="CH72" s="204">
        <f t="shared" si="106"/>
        <v>143667.42821707908</v>
      </c>
      <c r="CI72" s="204">
        <f t="shared" si="106"/>
        <v>148198.3621718236</v>
      </c>
      <c r="CJ72" s="204">
        <f t="shared" si="106"/>
        <v>152729.29612656808</v>
      </c>
      <c r="CK72" s="204">
        <f t="shared" si="106"/>
        <v>161860.93232760762</v>
      </c>
      <c r="CL72" s="204">
        <f t="shared" si="106"/>
        <v>175593.27077494218</v>
      </c>
      <c r="CM72" s="204">
        <f t="shared" si="106"/>
        <v>189325.60922227678</v>
      </c>
      <c r="CN72" s="204">
        <f t="shared" si="106"/>
        <v>203057.94766961128</v>
      </c>
      <c r="CO72" s="204">
        <f t="shared" si="106"/>
        <v>216790.28611694585</v>
      </c>
      <c r="CP72" s="204">
        <f t="shared" si="106"/>
        <v>230522.62456428044</v>
      </c>
      <c r="CQ72" s="204">
        <f t="shared" si="106"/>
        <v>244254.96301161498</v>
      </c>
      <c r="CR72" s="204">
        <f t="shared" si="106"/>
        <v>257987.30145894954</v>
      </c>
      <c r="CS72" s="204">
        <f t="shared" si="106"/>
        <v>271719.63990628411</v>
      </c>
      <c r="CT72" s="204">
        <f t="shared" si="106"/>
        <v>285451.9783536187</v>
      </c>
      <c r="CU72" s="204">
        <f t="shared" si="106"/>
        <v>299184.3168009533</v>
      </c>
      <c r="CV72" s="204">
        <f t="shared" si="106"/>
        <v>312916.65524828783</v>
      </c>
      <c r="CW72" s="204">
        <f t="shared" si="106"/>
        <v>326648.99369562237</v>
      </c>
      <c r="CX72" s="204">
        <f t="shared" si="106"/>
        <v>336428.79469562235</v>
      </c>
      <c r="CY72" s="204">
        <f t="shared" si="106"/>
        <v>346208.59569562244</v>
      </c>
      <c r="CZ72" s="204">
        <f t="shared" si="106"/>
        <v>355988.39669562236</v>
      </c>
      <c r="DA72" s="204">
        <f t="shared" si="106"/>
        <v>365768.1976956224</v>
      </c>
    </row>
    <row r="73" spans="1:105">
      <c r="A73" s="201" t="str">
        <f>Income!A89</f>
        <v>Food Poverty line</v>
      </c>
    </row>
    <row r="74" spans="1:105">
      <c r="A74" s="201" t="str">
        <f>Income!A90</f>
        <v>Lower Bound Poverty line</v>
      </c>
    </row>
    <row r="96" spans="4:15">
      <c r="D96" s="211"/>
      <c r="E96" s="211"/>
      <c r="F96" s="211"/>
      <c r="G96" s="211"/>
      <c r="H96" s="211"/>
      <c r="I96" s="211"/>
      <c r="J96" s="211"/>
      <c r="K96" s="211"/>
      <c r="L96" s="211"/>
      <c r="M96" s="211"/>
      <c r="N96" s="211"/>
      <c r="O96" s="211"/>
    </row>
    <row r="97" spans="1:31">
      <c r="C97" s="210"/>
      <c r="D97" s="212"/>
      <c r="E97" s="212"/>
      <c r="F97" s="212"/>
      <c r="G97" s="212"/>
      <c r="H97" s="212"/>
      <c r="I97" s="212"/>
      <c r="J97" s="212"/>
      <c r="K97" s="212"/>
      <c r="L97" s="212"/>
      <c r="M97" s="212"/>
      <c r="N97" s="212"/>
      <c r="O97" s="212"/>
    </row>
    <row r="98" spans="1:31">
      <c r="C98" s="210"/>
      <c r="D98" s="212"/>
      <c r="E98" s="212"/>
      <c r="F98" s="212"/>
      <c r="G98" s="212"/>
      <c r="H98" s="212"/>
      <c r="I98" s="212"/>
      <c r="J98" s="212"/>
      <c r="K98" s="212"/>
      <c r="L98" s="212"/>
      <c r="M98" s="212"/>
      <c r="N98" s="212"/>
      <c r="O98" s="212"/>
    </row>
    <row r="99" spans="1:31">
      <c r="C99" s="210"/>
      <c r="D99" s="212"/>
      <c r="E99" s="212"/>
      <c r="F99" s="212"/>
      <c r="G99" s="212"/>
      <c r="H99" s="212"/>
      <c r="I99" s="212"/>
      <c r="J99" s="212"/>
      <c r="K99" s="212"/>
      <c r="L99" s="212"/>
      <c r="M99" s="212"/>
      <c r="N99" s="212"/>
      <c r="O99" s="212"/>
    </row>
    <row r="100" spans="1:31">
      <c r="C100" s="210"/>
      <c r="D100" s="212"/>
      <c r="E100" s="212"/>
      <c r="F100" s="212"/>
      <c r="G100" s="212"/>
      <c r="H100" s="212"/>
      <c r="I100" s="212"/>
      <c r="J100" s="212"/>
      <c r="K100" s="212"/>
      <c r="L100" s="212"/>
      <c r="M100" s="212"/>
      <c r="N100" s="212"/>
      <c r="O100" s="212"/>
    </row>
    <row r="101" spans="1:31">
      <c r="C101" s="210"/>
      <c r="D101" s="212"/>
      <c r="E101" s="212"/>
      <c r="F101" s="212"/>
      <c r="G101" s="212"/>
      <c r="H101" s="212"/>
      <c r="I101" s="212"/>
      <c r="J101" s="212"/>
      <c r="K101" s="212"/>
      <c r="L101" s="212"/>
      <c r="M101" s="212"/>
      <c r="N101" s="212"/>
      <c r="O101" s="212"/>
    </row>
    <row r="107" spans="1:31">
      <c r="B107" s="214">
        <f>A23</f>
        <v>0</v>
      </c>
      <c r="C107" s="214">
        <f>B23</f>
        <v>50</v>
      </c>
      <c r="D107" s="214">
        <f>C23</f>
        <v>75</v>
      </c>
      <c r="E107" s="214">
        <f>D23</f>
        <v>90</v>
      </c>
      <c r="F107" s="214">
        <f>E23</f>
        <v>100</v>
      </c>
      <c r="AD107" s="201" t="s">
        <v>117</v>
      </c>
    </row>
    <row r="108" spans="1:31">
      <c r="A108" s="213" t="str">
        <f t="shared" ref="A108:A120" si="107">A42</f>
        <v>Own crops Consumed</v>
      </c>
      <c r="B108" s="212">
        <v>0</v>
      </c>
      <c r="C108" s="212">
        <f>AD42</f>
        <v>0</v>
      </c>
      <c r="D108" s="212">
        <f>BU42</f>
        <v>-15.800996813396228</v>
      </c>
      <c r="E108" s="212">
        <f>CR42</f>
        <v>-89.323059559996324</v>
      </c>
      <c r="F108" s="212">
        <f xml:space="preserve"> 0.0529*F107^2 - 5.8907*F107 + 166.43</f>
        <v>106.36000000000007</v>
      </c>
    </row>
    <row r="109" spans="1:31">
      <c r="A109" s="213" t="str">
        <f t="shared" si="107"/>
        <v>Own crops sold</v>
      </c>
      <c r="B109" s="212">
        <f xml:space="preserve"> 0.2249*B107^2 + 18.644*B107 + 340.26</f>
        <v>340.26</v>
      </c>
      <c r="C109" s="212">
        <f>AD43</f>
        <v>340.26</v>
      </c>
      <c r="D109" s="212">
        <f t="shared" ref="D109:D120" si="108">BU43</f>
        <v>1767.9489942842363</v>
      </c>
      <c r="E109" s="212">
        <f t="shared" ref="E109:E120" si="109">CR43</f>
        <v>-1827.5454679313971</v>
      </c>
      <c r="F109" s="212">
        <f xml:space="preserve"> 0.2249*F107^2 - 18.644*F107 + 340.26</f>
        <v>724.86000000000013</v>
      </c>
      <c r="AD109" s="217" t="s">
        <v>120</v>
      </c>
      <c r="AE109" s="201">
        <f>(0.0000001/7+0.00002/6+0.0039/5+0.2271/4+1.2857/3+16.311/2+13342)</f>
        <v>13350.641625014287</v>
      </c>
    </row>
    <row r="110" spans="1:31">
      <c r="A110" s="213" t="str">
        <f t="shared" si="107"/>
        <v>Animal products consumed</v>
      </c>
      <c r="B110" s="212">
        <v>0</v>
      </c>
      <c r="C110" s="212">
        <f t="shared" ref="C110:C120" si="110">AD44</f>
        <v>0</v>
      </c>
      <c r="D110" s="212">
        <f t="shared" si="108"/>
        <v>81.163578931390589</v>
      </c>
      <c r="E110" s="212">
        <f t="shared" si="109"/>
        <v>44.944912042237192</v>
      </c>
      <c r="F110" s="212">
        <f xml:space="preserve"> -0.005*F107^2 + 0.7378*F107 - 15.349</f>
        <v>8.4310000000000009</v>
      </c>
      <c r="AD110" s="217" t="s">
        <v>118</v>
      </c>
      <c r="AE110" s="201">
        <f>(0.5*(DA72-F72))</f>
        <v>157227.24345512173</v>
      </c>
    </row>
    <row r="111" spans="1:31">
      <c r="A111" s="213" t="str">
        <f t="shared" si="107"/>
        <v>Animal products sold</v>
      </c>
      <c r="B111" s="212">
        <v>0</v>
      </c>
      <c r="C111" s="212">
        <f t="shared" si="110"/>
        <v>0</v>
      </c>
      <c r="D111" s="212">
        <f t="shared" si="108"/>
        <v>0</v>
      </c>
      <c r="E111" s="212">
        <f t="shared" si="109"/>
        <v>0</v>
      </c>
      <c r="F111" s="212">
        <v>0</v>
      </c>
      <c r="AD111" s="217" t="s">
        <v>119</v>
      </c>
      <c r="AE111" s="212">
        <f>AE109/AE110</f>
        <v>8.4913029902639214E-2</v>
      </c>
    </row>
    <row r="112" spans="1:31">
      <c r="A112" s="213" t="str">
        <f t="shared" si="107"/>
        <v>Animals sold</v>
      </c>
      <c r="B112" s="212">
        <v>0</v>
      </c>
      <c r="C112" s="212">
        <f t="shared" si="110"/>
        <v>0</v>
      </c>
      <c r="D112" s="212">
        <f t="shared" si="108"/>
        <v>1398.1937480463864</v>
      </c>
      <c r="E112" s="212">
        <f t="shared" si="109"/>
        <v>513.36506610210233</v>
      </c>
      <c r="F112" s="212">
        <v>0</v>
      </c>
    </row>
    <row r="113" spans="1:31">
      <c r="A113" s="213" t="str">
        <f t="shared" si="107"/>
        <v>Wild foods consumed and sold</v>
      </c>
      <c r="B113" s="212">
        <v>0</v>
      </c>
      <c r="C113" s="212">
        <f t="shared" si="110"/>
        <v>0</v>
      </c>
      <c r="D113" s="212">
        <f t="shared" si="108"/>
        <v>0</v>
      </c>
      <c r="E113" s="212">
        <f t="shared" si="109"/>
        <v>0</v>
      </c>
      <c r="F113" s="212">
        <f xml:space="preserve"> 0.0898*F107^2 - 11.826*F107 + 336.79</f>
        <v>52.189999999999884</v>
      </c>
      <c r="AD113" s="217" t="s">
        <v>121</v>
      </c>
      <c r="AE113" s="201">
        <v>0.57299999999999995</v>
      </c>
    </row>
    <row r="114" spans="1:31">
      <c r="A114" s="213" t="str">
        <f t="shared" si="107"/>
        <v>Labour - casual</v>
      </c>
      <c r="B114" s="212">
        <v>0</v>
      </c>
      <c r="C114" s="212">
        <f t="shared" si="110"/>
        <v>0</v>
      </c>
      <c r="D114" s="212">
        <f t="shared" si="108"/>
        <v>1269.3186160195069</v>
      </c>
      <c r="E114" s="212">
        <f t="shared" si="109"/>
        <v>-2624.0557122556697</v>
      </c>
      <c r="F114" s="212">
        <v>0</v>
      </c>
      <c r="AD114" s="217" t="s">
        <v>122</v>
      </c>
      <c r="AE114" s="201">
        <v>0.51500000000000001</v>
      </c>
    </row>
    <row r="115" spans="1:31">
      <c r="A115" s="213" t="str">
        <f t="shared" si="107"/>
        <v>Labour - formal emp</v>
      </c>
      <c r="B115" s="212">
        <v>0</v>
      </c>
      <c r="C115" s="212">
        <f t="shared" si="110"/>
        <v>0</v>
      </c>
      <c r="D115" s="212">
        <f t="shared" si="108"/>
        <v>0</v>
      </c>
      <c r="E115" s="212">
        <f t="shared" si="109"/>
        <v>9040.6919461308626</v>
      </c>
      <c r="F115" s="212">
        <f xml:space="preserve"> -2.582*F107^2 + 352.49*F107 - 6757.3</f>
        <v>2671.7</v>
      </c>
    </row>
    <row r="116" spans="1:31">
      <c r="A116" s="213" t="str">
        <f t="shared" si="107"/>
        <v>Self - employment</v>
      </c>
      <c r="B116" s="212">
        <v>0</v>
      </c>
      <c r="C116" s="212">
        <f t="shared" si="110"/>
        <v>0</v>
      </c>
      <c r="D116" s="212">
        <f t="shared" si="108"/>
        <v>0</v>
      </c>
      <c r="E116" s="212">
        <f t="shared" si="109"/>
        <v>0</v>
      </c>
      <c r="F116" s="212">
        <f xml:space="preserve"> 0.025*F107^2 - 2.8902*F107 + 868.55</f>
        <v>829.53</v>
      </c>
    </row>
    <row r="117" spans="1:31">
      <c r="A117" s="213" t="str">
        <f t="shared" si="107"/>
        <v>Small business/petty trading</v>
      </c>
      <c r="B117" s="212">
        <v>0</v>
      </c>
      <c r="C117" s="212">
        <f t="shared" si="110"/>
        <v>0</v>
      </c>
      <c r="D117" s="212">
        <f t="shared" si="108"/>
        <v>650.88881925091823</v>
      </c>
      <c r="E117" s="212">
        <f t="shared" si="109"/>
        <v>6456.6120826165879</v>
      </c>
      <c r="F117" s="212">
        <f xml:space="preserve"> 1.6289*F107^2 - 121.84*F107 + 2098.5</f>
        <v>6203.5</v>
      </c>
    </row>
    <row r="118" spans="1:31">
      <c r="A118" s="213" t="str">
        <f t="shared" si="107"/>
        <v>Food transfer - official</v>
      </c>
      <c r="B118" s="212">
        <f xml:space="preserve"> 0</f>
        <v>0</v>
      </c>
      <c r="C118" s="212">
        <f t="shared" si="110"/>
        <v>0</v>
      </c>
      <c r="D118" s="212">
        <f t="shared" si="108"/>
        <v>-2.2737367544323207E-14</v>
      </c>
      <c r="E118" s="212">
        <f t="shared" si="109"/>
        <v>-167.57696138006267</v>
      </c>
      <c r="F118" s="212">
        <f>0.0411*F107^2 - 5.0851*F107 + 112.24</f>
        <v>14.730000000000004</v>
      </c>
    </row>
    <row r="119" spans="1:31">
      <c r="A119" s="213" t="str">
        <f t="shared" si="107"/>
        <v>Cash transfer - official</v>
      </c>
      <c r="B119" s="212">
        <v>0</v>
      </c>
      <c r="C119" s="212">
        <f t="shared" si="110"/>
        <v>0</v>
      </c>
      <c r="D119" s="212">
        <f t="shared" si="108"/>
        <v>-1645.8005675744182</v>
      </c>
      <c r="E119" s="212">
        <f t="shared" si="109"/>
        <v>911.24434695128537</v>
      </c>
      <c r="F119" s="212">
        <f xml:space="preserve"> -0.4727*F107^2 + 44.988*F107 - 899.63</f>
        <v>-1127.83</v>
      </c>
    </row>
    <row r="120" spans="1:31">
      <c r="A120" s="213" t="str">
        <f t="shared" si="107"/>
        <v>Cash transfer - gifts</v>
      </c>
      <c r="B120" s="212">
        <v>0</v>
      </c>
      <c r="C120" s="212">
        <f t="shared" si="110"/>
        <v>0</v>
      </c>
      <c r="D120" s="212">
        <f t="shared" si="108"/>
        <v>1025.0217625998712</v>
      </c>
      <c r="E120" s="212">
        <f t="shared" si="109"/>
        <v>1473.9812946186148</v>
      </c>
      <c r="F120" s="212">
        <f xml:space="preserve"> 0.1467*F107^2 - 15.6*F107 + 389.33</f>
        <v>296.33</v>
      </c>
    </row>
  </sheetData>
  <pageMargins left="0.7" right="0.7" top="0.75" bottom="0.75" header="0.3" footer="0.3"/>
  <pageSetup paperSize="9"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V.Poor</vt:lpstr>
      <vt:lpstr>Poor</vt:lpstr>
      <vt:lpstr>Middle</vt:lpstr>
      <vt:lpstr>Rich</vt:lpstr>
      <vt:lpstr>Food</vt:lpstr>
      <vt:lpstr>Income</vt:lpstr>
      <vt:lpstr>Expenditure</vt:lpstr>
      <vt:lpstr>Percentiles</vt:lpstr>
    </vt:vector>
  </TitlesOfParts>
  <Manager/>
  <Company>SAVAC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 Outcome Forecast Analysis Spreadsheet</dc:title>
  <dc:subject>Spreadsheet for analysing and forecasting food insecurity and living standards risks</dc:subject>
  <dc:creator>Mark Lawrence; Charles Rethman (total income, FPL, LBPL, UBPLs); SAVAC</dc:creator>
  <cp:keywords/>
  <dc:description/>
  <cp:lastModifiedBy>Charles Rethman</cp:lastModifiedBy>
  <cp:lastPrinted>2011-04-19T10:12:05Z</cp:lastPrinted>
  <dcterms:created xsi:type="dcterms:W3CDTF">2006-01-21T10:30:34Z</dcterms:created>
  <dcterms:modified xsi:type="dcterms:W3CDTF">2016-10-18T11:27:30Z</dcterms:modified>
  <cp:category/>
</cp:coreProperties>
</file>