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<sst xmlns="http://schemas.openxmlformats.org/spreadsheetml/2006/main" count="790" uniqueCount="145">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</sst>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0.0105090286425903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122552"/>
        <c:axId val="1789109992"/>
      </c:barChart>
      <c:catAx>
        <c:axId val="17891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0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0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2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0.0684991147360172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0.124444895945201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879928"/>
        <c:axId val="-2027877720"/>
      </c:barChart>
      <c:catAx>
        <c:axId val="-202787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87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87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87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0.138372920623593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0.0427669564746043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0.0132890932181278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0.0363580508554069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0.00184273440520295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0.0139601091303254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0.0212193658780946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0.00521177407532149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168744"/>
        <c:axId val="1775168184"/>
      </c:barChart>
      <c:catAx>
        <c:axId val="17751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6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16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6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967000"/>
        <c:axId val="1774959048"/>
      </c:barChart>
      <c:catAx>
        <c:axId val="177496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5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95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6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5680.215468640636</c:v>
                </c:pt>
                <c:pt idx="6">
                  <c:v>10599.15431254179</c:v>
                </c:pt>
                <c:pt idx="7">
                  <c:v>7567.15392649063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4987.5</c:v>
                </c:pt>
                <c:pt idx="7">
                  <c:v>6707.348970864818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4248.0</c:v>
                </c:pt>
                <c:pt idx="7">
                  <c:v>9874.758527033345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172.8457030408715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803352"/>
        <c:axId val="1774798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03352"/>
        <c:axId val="1774798184"/>
      </c:lineChart>
      <c:catAx>
        <c:axId val="177480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79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79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80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625016"/>
        <c:axId val="17746166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25016"/>
        <c:axId val="1774616664"/>
      </c:lineChart>
      <c:catAx>
        <c:axId val="177462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61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61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62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516040"/>
        <c:axId val="1774513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16040"/>
        <c:axId val="1774513176"/>
      </c:lineChart>
      <c:catAx>
        <c:axId val="1774516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5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1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0.117449008788065</c:v>
                </c:pt>
                <c:pt idx="2">
                  <c:v>0.0781929286736154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-1.373088787906405</c:v>
                </c:pt>
                <c:pt idx="2">
                  <c:v>-1.373088787906405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40904"/>
        <c:axId val="1774444264"/>
      </c:barChart>
      <c:catAx>
        <c:axId val="17744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4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4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4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0.397386004121557</c:v>
                </c:pt>
                <c:pt idx="2">
                  <c:v>0.422572199808435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0.0703571857649074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-0.607979775233802</c:v>
                </c:pt>
                <c:pt idx="2">
                  <c:v>-0.537622589468895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69512"/>
        <c:axId val="1774372872"/>
      </c:barChart>
      <c:catAx>
        <c:axId val="177436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7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6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-0.0685908440329057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25128"/>
        <c:axId val="1774322584"/>
      </c:barChart>
      <c:catAx>
        <c:axId val="177432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2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2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2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63304"/>
        <c:axId val="1774261064"/>
      </c:barChart>
      <c:catAx>
        <c:axId val="177426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6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0.225640918664384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0.0676631915473225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0.00337277241594022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0.0705401618929016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0.141509799190535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0.187295886329289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-0.173700175645181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78584"/>
        <c:axId val="1788981880"/>
      </c:barChart>
      <c:catAx>
        <c:axId val="17889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98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8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9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05352"/>
        <c:axId val="17877988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05352"/>
        <c:axId val="17877988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05352"/>
        <c:axId val="1787798808"/>
      </c:scatterChart>
      <c:catAx>
        <c:axId val="1787805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798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798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05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709224"/>
        <c:axId val="178768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09224"/>
        <c:axId val="1787688776"/>
      </c:lineChart>
      <c:catAx>
        <c:axId val="1787709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68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68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709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70264"/>
        <c:axId val="1787467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59640"/>
        <c:axId val="1787462440"/>
      </c:scatterChart>
      <c:valAx>
        <c:axId val="17874702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67272"/>
        <c:crosses val="autoZero"/>
        <c:crossBetween val="midCat"/>
      </c:valAx>
      <c:valAx>
        <c:axId val="178746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70264"/>
        <c:crosses val="autoZero"/>
        <c:crossBetween val="midCat"/>
      </c:valAx>
      <c:valAx>
        <c:axId val="17874596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462440"/>
        <c:crosses val="autoZero"/>
        <c:crossBetween val="midCat"/>
      </c:valAx>
      <c:valAx>
        <c:axId val="17874624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596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57032"/>
        <c:axId val="17873516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57032"/>
        <c:axId val="1787351656"/>
      </c:lineChart>
      <c:catAx>
        <c:axId val="17873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51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351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57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0.194509280069892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0.0618700544538139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0.00223077384046426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0.0436997667330066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0.116507496298005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0.00882620485637913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0.0123857794160903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0.0207323235527438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0.210035363701004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0.331492432644134</c:v>
                </c:pt>
                <c:pt idx="2" formatCode="0.0%">
                  <c:v>-0.0477842772872359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983160"/>
        <c:axId val="-2118166792"/>
      </c:barChart>
      <c:catAx>
        <c:axId val="-21189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6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6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98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168792"/>
        <c:axId val="-2118174392"/>
      </c:barChart>
      <c:catAx>
        <c:axId val="-211816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7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7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6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-1.114361539002318</c:v>
                </c:pt>
                <c:pt idx="1">
                  <c:v>-1.014308161673303</c:v>
                </c:pt>
                <c:pt idx="2">
                  <c:v>-1.28905057667654</c:v>
                </c:pt>
                <c:pt idx="3">
                  <c:v>3.064879093911049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81288"/>
        <c:axId val="-2118286024"/>
      </c:barChart>
      <c:catAx>
        <c:axId val="-2118281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28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28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28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395464"/>
        <c:axId val="-2118400392"/>
      </c:barChart>
      <c:catAx>
        <c:axId val="-2118395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400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40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39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0.0386822930353716</c:v>
                </c:pt>
                <c:pt idx="1">
                  <c:v>0.0429118383812969</c:v>
                </c:pt>
                <c:pt idx="2">
                  <c:v>0.0112793119208159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0.07080592233581</c:v>
                </c:pt>
                <c:pt idx="1">
                  <c:v>0.0785478847630509</c:v>
                </c:pt>
                <c:pt idx="2">
                  <c:v>0.020646192901139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0.37592266735838</c:v>
                </c:pt>
                <c:pt idx="1">
                  <c:v>0.417026279460681</c:v>
                </c:pt>
                <c:pt idx="2">
                  <c:v>0.109614727838473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0.181337353346824</c:v>
                </c:pt>
                <c:pt idx="3">
                  <c:v>0.0893154128424657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0.0134910896637609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0.282160647571606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0.166472127767746</c:v>
                </c:pt>
                <c:pt idx="1">
                  <c:v>0.099905918228518</c:v>
                </c:pt>
                <c:pt idx="2">
                  <c:v>0.133189022998132</c:v>
                </c:pt>
                <c:pt idx="3">
                  <c:v>0.166472127767746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-0.303586433654746</c:v>
                </c:pt>
                <c:pt idx="2">
                  <c:v>-0.436596574077418</c:v>
                </c:pt>
                <c:pt idx="3">
                  <c:v>0.109762966773771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45864"/>
        <c:axId val="-2118552296"/>
      </c:barChart>
      <c:catAx>
        <c:axId val="-2118545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52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55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4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0.0537364624449361</c:v>
                </c:pt>
                <c:pt idx="1">
                  <c:v>0.0586944034507468</c:v>
                </c:pt>
                <c:pt idx="2">
                  <c:v>0.0264266994841427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0.0773979614260806</c:v>
                </c:pt>
                <c:pt idx="1">
                  <c:v>0.0845390069892071</c:v>
                </c:pt>
                <c:pt idx="2">
                  <c:v>0.0380630315847122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0.301092435117284</c:v>
                </c:pt>
                <c:pt idx="1">
                  <c:v>0.328872427745884</c:v>
                </c:pt>
                <c:pt idx="2">
                  <c:v>0.148072257416398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0.0650638565102519</c:v>
                </c:pt>
                <c:pt idx="1">
                  <c:v>0.0710669082094388</c:v>
                </c:pt>
                <c:pt idx="2">
                  <c:v>0.0319973236987401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0.165811745936221</c:v>
                </c:pt>
                <c:pt idx="3">
                  <c:v>0.0816684718790343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0.00892309536185703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0.174799066932027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0.137059418644973</c:v>
                </c:pt>
                <c:pt idx="1">
                  <c:v>0.0822542923863918</c:v>
                </c:pt>
                <c:pt idx="2">
                  <c:v>0.109656855515683</c:v>
                </c:pt>
                <c:pt idx="3">
                  <c:v>0.137059418644974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0.210035363701004</c:v>
                </c:pt>
                <c:pt idx="1">
                  <c:v>0.210035363701004</c:v>
                </c:pt>
                <c:pt idx="2">
                  <c:v>0.210035363701004</c:v>
                </c:pt>
                <c:pt idx="3">
                  <c:v>0.210035363701004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0.0869696814181032</c:v>
                </c:pt>
                <c:pt idx="3">
                  <c:v>0.213470637597966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13736"/>
        <c:axId val="-2118716792"/>
      </c:barChart>
      <c:catAx>
        <c:axId val="-211871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1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71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1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276744"/>
        <c:axId val="1776728920"/>
      </c:barChart>
      <c:catAx>
        <c:axId val="177727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7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27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6335.2915489776324</v>
      </c>
      <c r="T23" s="179">
        <f>SUM(T7:T22)</f>
        <v>6509.2371191944094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23495.817473170933</v>
      </c>
      <c r="T30" s="234">
        <f t="shared" si="24"/>
        <v>23321.871902954153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0.30892423621337262</v>
      </c>
      <c r="K31" s="22" t="str">
        <f t="shared" si="4"/>
        <v/>
      </c>
      <c r="L31" s="22">
        <f>(1-SUM(L6:L30))</f>
        <v>0.33158571127616676</v>
      </c>
      <c r="M31" s="241">
        <f t="shared" si="6"/>
        <v>0.30892423621337262</v>
      </c>
      <c r="N31" s="167">
        <f>M31*I83</f>
        <v>4311.0913734906244</v>
      </c>
      <c r="P31" s="22"/>
      <c r="Q31" s="238" t="s">
        <v>142</v>
      </c>
      <c r="R31" s="234">
        <f t="shared" si="24"/>
        <v>7977.3159711895714</v>
      </c>
      <c r="S31" s="234">
        <f t="shared" si="24"/>
        <v>39990.644139837597</v>
      </c>
      <c r="T31" s="234">
        <f>IF(T25&gt;T$23,T25-T$23,0)</f>
        <v>39816.698569620821</v>
      </c>
      <c r="V31" s="56"/>
      <c r="W31" s="129" t="s">
        <v>84</v>
      </c>
      <c r="X31" s="130"/>
      <c r="Y31" s="121">
        <f>M31*4</f>
        <v>1.2356969448534905</v>
      </c>
      <c r="Z31" s="131"/>
      <c r="AA31" s="132">
        <f>1-AA32+IF($Y32&lt;0,$Y32/4,0)</f>
        <v>0</v>
      </c>
      <c r="AB31" s="131"/>
      <c r="AC31" s="133">
        <f>1-AC32+IF($Y32&lt;0,$Y32/4,0)</f>
        <v>0.48513907765713138</v>
      </c>
      <c r="AD31" s="134"/>
      <c r="AE31" s="133">
        <f>1-AE32+IF($Y32&lt;0,$Y32/4,0)</f>
        <v>0.52859840476878983</v>
      </c>
      <c r="AF31" s="134"/>
      <c r="AG31" s="133">
        <f>1-AG32+IF($Y32&lt;0,$Y32/4,0)</f>
        <v>0.58400102843006008</v>
      </c>
      <c r="AH31" s="123"/>
      <c r="AI31" s="182">
        <f>SUM(AA31,AC31,AE31,AG31)/4</f>
        <v>0.39943462771399535</v>
      </c>
      <c r="AJ31" s="135">
        <f t="shared" si="14"/>
        <v>0.24256953882856569</v>
      </c>
      <c r="AK31" s="136">
        <f t="shared" si="15"/>
        <v>0.55629971659942501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0.69107576378662738</v>
      </c>
      <c r="J32" s="17"/>
      <c r="L32" s="22">
        <f>SUM(L6:L30)</f>
        <v>0.66841428872383324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72728.564139837588</v>
      </c>
      <c r="T32" s="234">
        <f t="shared" si="24"/>
        <v>72554.618569620812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1</v>
      </c>
      <c r="AB32" s="137"/>
      <c r="AC32" s="139">
        <f>SUM(AC6:AC30)</f>
        <v>0.51486092234286862</v>
      </c>
      <c r="AD32" s="137"/>
      <c r="AE32" s="139">
        <f>SUM(AE6:AE30)</f>
        <v>0.47140159523121017</v>
      </c>
      <c r="AF32" s="137"/>
      <c r="AG32" s="139">
        <f>SUM(AG6:AG30)</f>
        <v>0.41599897156993987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25.07973468008062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1692.5500231602757</v>
      </c>
      <c r="AD77" s="112"/>
      <c r="AE77" s="111">
        <f>AE31*$I$83/4</f>
        <v>1844.1706377366042</v>
      </c>
      <c r="AF77" s="112"/>
      <c r="AG77" s="111">
        <f>AG31*$I$83/4</f>
        <v>2037.4589467589822</v>
      </c>
      <c r="AH77" s="110"/>
      <c r="AI77" s="154">
        <f>SUM(AA77,AC77,AE77,AG77)</f>
        <v>5574.1796076558621</v>
      </c>
      <c r="AJ77" s="153">
        <f>SUM(AA77,AC77)</f>
        <v>1692.5500231602757</v>
      </c>
      <c r="AK77" s="160">
        <f>SUM(AE77,AG77)</f>
        <v>3881.6295844955866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5680.2154686406366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1.0509028642590287E-2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1.0509028642590287E-2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4.2036114570361147E-2</v>
      </c>
      <c r="Z18" s="116">
        <v>1.2941</v>
      </c>
      <c r="AA18" s="121">
        <f t="shared" ref="AA18:AA20" si="25">$M18*Z18*4</f>
        <v>5.4398935865504358E-2</v>
      </c>
      <c r="AB18" s="116">
        <v>1.1765000000000001</v>
      </c>
      <c r="AC18" s="121">
        <f t="shared" ref="AC18:AC20" si="26">$M18*AB18*4</f>
        <v>4.9455488792029892E-2</v>
      </c>
      <c r="AD18" s="116">
        <v>1.2353000000000001</v>
      </c>
      <c r="AE18" s="121">
        <f t="shared" ref="AE18:AE20" si="27">$M18*AD18*4</f>
        <v>5.1927212328767125E-2</v>
      </c>
      <c r="AF18" s="122">
        <f t="shared" ref="AF18:AF20" si="28">1-SUM(Z18,AB18,AD18)</f>
        <v>-2.7059000000000002</v>
      </c>
      <c r="AG18" s="121">
        <f t="shared" ref="AG18:AG20" si="29">$M18*AF18*4</f>
        <v>-0.11374552241594023</v>
      </c>
      <c r="AH18" s="123">
        <f t="shared" ref="AH18:AH20" si="30">SUM(Z18,AB18,AD18,AF18)</f>
        <v>1</v>
      </c>
      <c r="AI18" s="183">
        <f t="shared" ref="AI18:AI20" si="31">SUM(AA18,AC18,AE18,AG18)/4</f>
        <v>1.0509028642590287E-2</v>
      </c>
      <c r="AJ18" s="120">
        <f t="shared" ref="AJ18:AJ20" si="32">(AA18+AC18)/2</f>
        <v>5.1927212328767125E-2</v>
      </c>
      <c r="AK18" s="119">
        <f t="shared" ref="AK18:AK20" si="33">(AE18+AG18)/2</f>
        <v>-3.0909155043586552E-2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10823.306800140075</v>
      </c>
      <c r="T23" s="179">
        <f>SUM(T7:T22)</f>
        <v>10551.866708539408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19007.802222008489</v>
      </c>
      <c r="T30" s="234">
        <f t="shared" si="50"/>
        <v>19279.242313609157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-1.1143615390023185</v>
      </c>
      <c r="AB30" s="122">
        <f>IF($Y30=0,0,AC30/($Y$30))</f>
        <v>0</v>
      </c>
      <c r="AC30" s="187">
        <f>IF(AC79*4/$I$83+SUM(AC6:AC29)&lt;1,AC79*4/$I$83,1-SUM(AC6:AC29))</f>
        <v>-1.0143081616733025</v>
      </c>
      <c r="AD30" s="122">
        <f>IF($Y30=0,0,AE30/($Y$30))</f>
        <v>0</v>
      </c>
      <c r="AE30" s="187">
        <f>IF(AE79*4/$I$83+SUM(AE6:AE29)&lt;1,AE79*4/$I$83,1-SUM(AE6:AE29))</f>
        <v>-1.2890505766765399</v>
      </c>
      <c r="AF30" s="122">
        <f>IF($Y30=0,0,AG30/($Y$30))</f>
        <v>0</v>
      </c>
      <c r="AG30" s="187">
        <f>IF(AG79*4/$I$83+SUM(AG6:AG29)&lt;1,AG79*4/$I$83,1-SUM(AG6:AG29))</f>
        <v>3.0648790939110495</v>
      </c>
      <c r="AH30" s="123">
        <f t="shared" si="12"/>
        <v>0</v>
      </c>
      <c r="AI30" s="183">
        <f t="shared" si="13"/>
        <v>-8.8210295860277843E-2</v>
      </c>
      <c r="AJ30" s="120">
        <f t="shared" si="14"/>
        <v>-1.0643348503378105</v>
      </c>
      <c r="AK30" s="119">
        <f t="shared" si="15"/>
        <v>0.88791425861725481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0.15631849753809246</v>
      </c>
      <c r="K31" s="22" t="str">
        <f t="shared" si="4"/>
        <v/>
      </c>
      <c r="L31" s="22">
        <f>(1-SUM(L6:L30))</f>
        <v>0.20002469893961639</v>
      </c>
      <c r="M31" s="178">
        <f t="shared" si="6"/>
        <v>0.15631849753809246</v>
      </c>
      <c r="N31" s="167">
        <f>M31*I83</f>
        <v>2181.4517841456236</v>
      </c>
      <c r="P31" s="22"/>
      <c r="Q31" s="238" t="s">
        <v>142</v>
      </c>
      <c r="R31" s="234">
        <f t="shared" si="50"/>
        <v>2829.2848104815494</v>
      </c>
      <c r="S31" s="234">
        <f t="shared" si="50"/>
        <v>35502.628888675157</v>
      </c>
      <c r="T31" s="234">
        <f>IF(T25&gt;T$23,T25-T$23,0)</f>
        <v>35774.068980275828</v>
      </c>
      <c r="V31" s="56"/>
      <c r="W31" s="129" t="s">
        <v>84</v>
      </c>
      <c r="X31" s="130"/>
      <c r="Y31" s="121">
        <f>M31*4</f>
        <v>0.62527399015236984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0.97811517359348121</v>
      </c>
      <c r="AH31" s="123"/>
      <c r="AI31" s="182">
        <f>SUM(AA31,AC31,AE31,AG31)/4</f>
        <v>0.2445287933983703</v>
      </c>
      <c r="AJ31" s="135">
        <f t="shared" si="14"/>
        <v>0</v>
      </c>
      <c r="AK31" s="136">
        <f t="shared" si="15"/>
        <v>0.48905758679674061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0.84368150246190754</v>
      </c>
      <c r="J32" s="17"/>
      <c r="L32" s="22">
        <f>SUM(L6:L30)</f>
        <v>0.79997530106038361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68240.548888675141</v>
      </c>
      <c r="T32" s="234">
        <f t="shared" si="50"/>
        <v>68511.988980275812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2.1884826406518787E-2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11.812187281304078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33592.617196130203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1912.99</v>
      </c>
      <c r="J65" s="39">
        <f>SUM(J37:J64)</f>
        <v>1912.9900000000002</v>
      </c>
      <c r="K65" s="40">
        <f>SUM(K37:K64)</f>
        <v>1</v>
      </c>
      <c r="L65" s="22">
        <f>SUM(L37:L64)</f>
        <v>0.11744900878806458</v>
      </c>
      <c r="M65" s="24">
        <f>SUM(M37:M64)</f>
        <v>7.8192928673615381E-2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52.5</v>
      </c>
      <c r="AB65" s="137"/>
      <c r="AC65" s="153">
        <f>SUM(AC37:AC64)</f>
        <v>52.5</v>
      </c>
      <c r="AD65" s="137"/>
      <c r="AE65" s="153">
        <f>SUM(AE37:AE64)</f>
        <v>52.5</v>
      </c>
      <c r="AF65" s="137"/>
      <c r="AG65" s="153">
        <f>SUM(AG37:AG64)</f>
        <v>524.5</v>
      </c>
      <c r="AH65" s="137"/>
      <c r="AI65" s="153">
        <f>SUM(AI37:AI64)</f>
        <v>682</v>
      </c>
      <c r="AJ65" s="153">
        <f>SUM(AJ37:AJ64)</f>
        <v>105</v>
      </c>
      <c r="AK65" s="153">
        <f>SUM(AK37:AK64)</f>
        <v>577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1912.99</v>
      </c>
      <c r="J70" s="51">
        <f t="shared" ref="J70:J77" si="75">J124*I$83</f>
        <v>1912.99</v>
      </c>
      <c r="K70" s="40">
        <f>B70/B$76</f>
        <v>0.55504307989441282</v>
      </c>
      <c r="L70" s="22">
        <f t="shared" ref="L70:L75" si="76">(L124*G$37*F$9/F$7)/B$130</f>
        <v>0.11744900878806458</v>
      </c>
      <c r="M70" s="24">
        <f>J70/B$76</f>
        <v>7.8192928673615367E-2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478.2475</v>
      </c>
      <c r="AB70" s="116">
        <v>0.25</v>
      </c>
      <c r="AC70" s="147">
        <f>$J70*AB70</f>
        <v>478.2475</v>
      </c>
      <c r="AD70" s="116">
        <v>0.25</v>
      </c>
      <c r="AE70" s="147">
        <f>$J70*AD70</f>
        <v>478.2475</v>
      </c>
      <c r="AF70" s="122">
        <f>1-SUM(Z70,AB70,AD70)</f>
        <v>0.25</v>
      </c>
      <c r="AG70" s="147">
        <f>$J70*AF70</f>
        <v>478.2475</v>
      </c>
      <c r="AH70" s="155">
        <f>SUM(Z70,AB70,AD70,AF70)</f>
        <v>1</v>
      </c>
      <c r="AI70" s="147">
        <f>SUM(AA70,AC70,AE70,AG70)</f>
        <v>1912.99</v>
      </c>
      <c r="AJ70" s="148">
        <f>(AA70+AC70)</f>
        <v>956.495</v>
      </c>
      <c r="AK70" s="147">
        <f>(AE70+AG70)</f>
        <v>956.495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-3887.7772076325946</v>
      </c>
      <c r="AB74" s="156"/>
      <c r="AC74" s="147">
        <f>AC30*$I$83/4</f>
        <v>-3538.7116429015391</v>
      </c>
      <c r="AD74" s="156"/>
      <c r="AE74" s="147">
        <f>AE30*$I$83/4</f>
        <v>-4497.2311732649241</v>
      </c>
      <c r="AF74" s="156"/>
      <c r="AG74" s="147">
        <f>AG30*$I$83/4</f>
        <v>10692.730023799058</v>
      </c>
      <c r="AH74" s="155"/>
      <c r="AI74" s="147">
        <f>SUM(AA74,AC74,AE74,AG74)</f>
        <v>-1230.9899999999998</v>
      </c>
      <c r="AJ74" s="148">
        <f>(AA74+AC74)</f>
        <v>-7426.4888505341332</v>
      </c>
      <c r="AK74" s="147">
        <f>(AE74+AG74)</f>
        <v>6195.4988505341344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3462.0297076325946</v>
      </c>
      <c r="AB75" s="158"/>
      <c r="AC75" s="149">
        <f>AA75+AC65-SUM(AC70,AC74)</f>
        <v>6574.9938505341343</v>
      </c>
      <c r="AD75" s="158"/>
      <c r="AE75" s="149">
        <f>AC75+AE65-SUM(AE70,AE74)</f>
        <v>10646.477523799058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6574.9938505341333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1912.99</v>
      </c>
      <c r="J76" s="51">
        <f t="shared" si="75"/>
        <v>1912.99</v>
      </c>
      <c r="K76" s="40">
        <f>SUM(K70:K75)</f>
        <v>2.6105373233714886</v>
      </c>
      <c r="L76" s="22">
        <f>SUM(L70:L75)</f>
        <v>0.11744900878806458</v>
      </c>
      <c r="M76" s="24">
        <f>SUM(M70:M75)</f>
        <v>7.8192928673615367E-2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52.5</v>
      </c>
      <c r="AB76" s="137"/>
      <c r="AC76" s="153">
        <f>AC65</f>
        <v>52.5</v>
      </c>
      <c r="AD76" s="137"/>
      <c r="AE76" s="153">
        <f>AE65</f>
        <v>52.5</v>
      </c>
      <c r="AF76" s="137"/>
      <c r="AG76" s="153">
        <f>AG65</f>
        <v>524.5</v>
      </c>
      <c r="AH76" s="137"/>
      <c r="AI76" s="153">
        <f>SUM(AA76,AC76,AE76,AG76)</f>
        <v>682</v>
      </c>
      <c r="AJ76" s="154">
        <f>SUM(AA76,AC76)</f>
        <v>105</v>
      </c>
      <c r="AK76" s="154">
        <f>SUM(AE76,AG76)</f>
        <v>577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33592.617196130203</v>
      </c>
      <c r="J77" s="100">
        <f t="shared" si="75"/>
        <v>33592.617196130203</v>
      </c>
      <c r="K77" s="40"/>
      <c r="L77" s="22">
        <f>-(L131*G$37*F$9/F$7)/B$130</f>
        <v>-1.3730887879064051</v>
      </c>
      <c r="M77" s="24">
        <f>-J77/B$76</f>
        <v>-1.3730887879064051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3412.4417841456238</v>
      </c>
      <c r="AH77" s="110"/>
      <c r="AI77" s="154">
        <f>SUM(AA77,AC77,AE77,AG77)</f>
        <v>3412.4417841456238</v>
      </c>
      <c r="AJ77" s="153">
        <f>SUM(AA77,AC77)</f>
        <v>0</v>
      </c>
      <c r="AK77" s="160">
        <f>SUM(AE77,AG77)</f>
        <v>3412.4417841456238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3462.0297076325946</v>
      </c>
      <c r="AD78" s="112"/>
      <c r="AE78" s="112">
        <f>AC75</f>
        <v>6574.9938505341343</v>
      </c>
      <c r="AF78" s="112"/>
      <c r="AG78" s="112">
        <f>AE75</f>
        <v>10646.477523799058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-425.7475</v>
      </c>
      <c r="AB79" s="112"/>
      <c r="AC79" s="112">
        <f>AA79-AA74+AC65-AC70</f>
        <v>3036.2822076325947</v>
      </c>
      <c r="AD79" s="112"/>
      <c r="AE79" s="112">
        <f>AC79-AC74+AE65-AE70</f>
        <v>6149.2463505341339</v>
      </c>
      <c r="AF79" s="112"/>
      <c r="AG79" s="112">
        <f>AE79-AE74+AG65-AG70</f>
        <v>10692.730023799058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0.13708105986056177</v>
      </c>
      <c r="J119" s="24">
        <f>SUM(J91:J118)</f>
        <v>0.13708105986056177</v>
      </c>
      <c r="K119" s="22">
        <f>SUM(K91:K118)</f>
        <v>2.8926368740329336</v>
      </c>
      <c r="L119" s="22">
        <f>SUM(L91:L118)</f>
        <v>0.20590141432665071</v>
      </c>
      <c r="M119" s="57">
        <f t="shared" si="80"/>
        <v>0.13708105986056177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0.13708105986056177</v>
      </c>
      <c r="J124" s="237">
        <f>IF(SUMPRODUCT($B$124:$B124,$H$124:$H124)&lt;J$119,($B124*$H124),J$119)</f>
        <v>0.13708105986056177</v>
      </c>
      <c r="K124" s="29">
        <f>(B124)</f>
        <v>1.6055380795793861</v>
      </c>
      <c r="L124" s="29">
        <f>IF(SUMPRODUCT($B$124:$B124,$H$124:$H124)&lt;L$119,($B124*$H124),L$119)</f>
        <v>0.20590141432665071</v>
      </c>
      <c r="M124" s="240">
        <f t="shared" si="93"/>
        <v>0.13708105986056177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0.13708105986056177</v>
      </c>
      <c r="J130" s="228">
        <f>(J119)</f>
        <v>0.13708105986056177</v>
      </c>
      <c r="K130" s="29">
        <f>(B130)</f>
        <v>2.8926368740329336</v>
      </c>
      <c r="L130" s="29">
        <f>(L119)</f>
        <v>0.20590141432665071</v>
      </c>
      <c r="M130" s="240">
        <f t="shared" si="93"/>
        <v>0.13708105986056177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2.4071801571025779</v>
      </c>
      <c r="J131" s="237">
        <f>IF(SUMPRODUCT($B124:$B125,$H124:$H125)&gt;(J119-J128),SUMPRODUCT($B124:$B125,$H124:$H125)+J128-J119,0)</f>
        <v>2.4071801571025779</v>
      </c>
      <c r="K131" s="29"/>
      <c r="L131" s="29">
        <f>IF(I131&lt;SUM(L126:L127),0,I131-(SUM(L126:L127)))</f>
        <v>2.4071801571025779</v>
      </c>
      <c r="M131" s="237">
        <f>IF(I131&lt;SUM(M126:M127),0,I131-(SUM(M126:M127)))</f>
        <v>2.4071801571025779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10599.154312541792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4987.5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0.41650542550476483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3.8682293035371622E-2</v>
      </c>
      <c r="AB8" s="125">
        <f>IF($Y8=0,0,AC8/$Y8)</f>
        <v>0.46204638095912315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4.2911838381296877E-2</v>
      </c>
      <c r="AD8" s="125">
        <f>IF($Y8=0,0,AE8/$Y8)</f>
        <v>0.12144819353611203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1.1279311920815945E-2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2.3218360834371107E-2</v>
      </c>
      <c r="AJ8" s="120">
        <f t="shared" si="14"/>
        <v>4.0797065708334246E-2</v>
      </c>
      <c r="AK8" s="119">
        <f t="shared" si="15"/>
        <v>5.6396559604079723E-3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0.41650542550476483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7.0805922335810026E-2</v>
      </c>
      <c r="AB9" s="125">
        <f>IF($Y9=0,0,AC9/$Y9)</f>
        <v>0.4620463809591232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7.8547884763050954E-2</v>
      </c>
      <c r="AD9" s="125">
        <f>IF($Y9=0,0,AE9/$Y9)</f>
        <v>0.12144819353611194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2.0646192901139032E-2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4.2500000000000003E-2</v>
      </c>
      <c r="AJ9" s="120">
        <f t="shared" si="14"/>
        <v>7.467690354943049E-2</v>
      </c>
      <c r="AK9" s="119">
        <f t="shared" si="15"/>
        <v>1.0323096450569516E-2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0.22564091866438354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0.22564091866438354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0.90256367465753418</v>
      </c>
      <c r="Z10" s="125">
        <f>IF($Y10=0,0,AA10/$Y10)</f>
        <v>0.41650542550476477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0.37592266735838037</v>
      </c>
      <c r="AB10" s="125">
        <f>IF($Y10=0,0,AC10/$Y10)</f>
        <v>0.4620463809591232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0.41702627946068116</v>
      </c>
      <c r="AD10" s="125">
        <f>IF($Y10=0,0,AE10/$Y10)</f>
        <v>0.12144819353611207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0.1096147278384727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0.22564091866438357</v>
      </c>
      <c r="AJ10" s="120">
        <f t="shared" si="14"/>
        <v>0.39647447340953079</v>
      </c>
      <c r="AK10" s="119">
        <f t="shared" si="15"/>
        <v>5.4807363919236352E-2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4248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6.7663191547322546E-2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6.7663191547322546E-2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0.27065276618929018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0.18133735334682444</v>
      </c>
      <c r="AF12" s="122">
        <f>1-SUM(Z12,AB12,AD12)</f>
        <v>0.32999999999999996</v>
      </c>
      <c r="AG12" s="121">
        <f>$M12*AF12*4</f>
        <v>8.9315412842465747E-2</v>
      </c>
      <c r="AH12" s="123">
        <f t="shared" si="12"/>
        <v>1</v>
      </c>
      <c r="AI12" s="183">
        <f t="shared" si="13"/>
        <v>6.7663191547322546E-2</v>
      </c>
      <c r="AJ12" s="120">
        <f t="shared" si="14"/>
        <v>0</v>
      </c>
      <c r="AK12" s="119">
        <f t="shared" si="15"/>
        <v>0.13532638309464509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3.3727724159402241E-3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3.3727724159402241E-3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1.3491089663760896E-2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1.3491089663760896E-2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3.3727724159402241E-3</v>
      </c>
      <c r="AJ14" s="120">
        <f t="shared" si="14"/>
        <v>6.7455448318804482E-3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7.0540161892901618E-2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7.0540161892901618E-2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0.28216064757160647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0.28216064757160647</v>
      </c>
      <c r="AH16" s="123">
        <f t="shared" si="12"/>
        <v>1</v>
      </c>
      <c r="AI16" s="183">
        <f t="shared" si="13"/>
        <v>7.0540161892901618E-2</v>
      </c>
      <c r="AJ16" s="120">
        <f t="shared" si="14"/>
        <v>0</v>
      </c>
      <c r="AK16" s="119">
        <f t="shared" si="15"/>
        <v>0.14108032378580324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0.1415097991905355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0.1415097991905355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0.56603919676214198</v>
      </c>
      <c r="Z17" s="156">
        <f>Poor!Z17</f>
        <v>0.29409999999999997</v>
      </c>
      <c r="AA17" s="121">
        <f t="shared" si="16"/>
        <v>0.16647212776774595</v>
      </c>
      <c r="AB17" s="156">
        <f>Poor!AB17</f>
        <v>0.17649999999999999</v>
      </c>
      <c r="AC17" s="121">
        <f t="shared" si="7"/>
        <v>9.9905918228518048E-2</v>
      </c>
      <c r="AD17" s="156">
        <f>Poor!AD17</f>
        <v>0.23530000000000001</v>
      </c>
      <c r="AE17" s="121">
        <f t="shared" si="8"/>
        <v>0.13318902299813201</v>
      </c>
      <c r="AF17" s="122">
        <f t="shared" si="10"/>
        <v>0.29410000000000003</v>
      </c>
      <c r="AG17" s="121">
        <f t="shared" si="11"/>
        <v>0.16647212776774598</v>
      </c>
      <c r="AH17" s="123">
        <f t="shared" si="12"/>
        <v>1</v>
      </c>
      <c r="AI17" s="183">
        <f t="shared" si="13"/>
        <v>0.1415097991905355</v>
      </c>
      <c r="AJ17" s="120">
        <f t="shared" si="14"/>
        <v>0.13318902299813201</v>
      </c>
      <c r="AK17" s="119">
        <f t="shared" si="15"/>
        <v>0.14983057538293898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0.18729588632928865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0.18729588632928865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23295.272565700379</v>
      </c>
      <c r="T23" s="179">
        <f>SUM(T7:T22)</f>
        <v>27803.224613843387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-0.17370017564518125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-0.17370017564518125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6535.8364564481853</v>
      </c>
      <c r="T30" s="234">
        <f t="shared" si="24"/>
        <v>2027.8844083051772</v>
      </c>
      <c r="V30" s="56"/>
      <c r="W30" s="110"/>
      <c r="X30" s="118"/>
      <c r="Y30" s="183">
        <f>M30*4</f>
        <v>-0.69480070258072502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0.43694030896503616</v>
      </c>
      <c r="AC30" s="187">
        <f>IF(AC79*4/$I$84+SUM(AC6:AC29)&lt;1,AC79*4/$I$84,1-SUM(AC6:AC29))</f>
        <v>-0.30358643365474619</v>
      </c>
      <c r="AD30" s="122">
        <f>IF($Y30=0,0,AE30/($Y$30))</f>
        <v>0.62837670206110907</v>
      </c>
      <c r="AE30" s="187">
        <f>IF(AE79*4/$I$84+SUM(AE6:AE29)&lt;1,AE79*4/$I$84,1-SUM(AE6:AE29))</f>
        <v>-0.43659657407741753</v>
      </c>
      <c r="AF30" s="122">
        <f>IF($Y30=0,0,AG30/($Y$30))</f>
        <v>-0.15797762778027477</v>
      </c>
      <c r="AG30" s="187">
        <f>IF(AG79*4/$I$84+SUM(AG6:AG29)&lt;1,AG79*4/$I$84,1-SUM(AG6:AG29))</f>
        <v>0.10976296677377118</v>
      </c>
      <c r="AH30" s="123">
        <f t="shared" si="12"/>
        <v>0.90733938324587038</v>
      </c>
      <c r="AI30" s="183">
        <f t="shared" si="13"/>
        <v>-0.15760501023959814</v>
      </c>
      <c r="AJ30" s="120">
        <f t="shared" si="14"/>
        <v>-0.1517932168273731</v>
      </c>
      <c r="AK30" s="119">
        <f t="shared" si="15"/>
        <v>-0.16341680365182318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6.7221851181210379E-2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23030.663123114853</v>
      </c>
      <c r="T31" s="234">
        <f>IF(T25&gt;T$23,T25-T$23,0)</f>
        <v>18522.711074971845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0.30358643365474625</v>
      </c>
      <c r="AD31" s="134"/>
      <c r="AE31" s="133">
        <f>1-AE32+IF($Y32&lt;0,$Y32/4,0)</f>
        <v>0.62824112002762278</v>
      </c>
      <c r="AF31" s="134"/>
      <c r="AG31" s="133">
        <f>1-AG32+IF($Y32&lt;0,$Y32/4,0)</f>
        <v>0</v>
      </c>
      <c r="AH31" s="123"/>
      <c r="AI31" s="182">
        <f>SUM(AA31,AC31,AE31,AG31)/4</f>
        <v>0.23295688842059226</v>
      </c>
      <c r="AJ31" s="135">
        <f t="shared" si="14"/>
        <v>0.15179321682737312</v>
      </c>
      <c r="AK31" s="136">
        <f t="shared" si="15"/>
        <v>0.31412056001381139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1.0345503042598527</v>
      </c>
      <c r="J32" s="17"/>
      <c r="L32" s="22">
        <f>SUM(L6:L30)</f>
        <v>0.93277814881878962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55768.583123114848</v>
      </c>
      <c r="T32" s="234">
        <f t="shared" si="24"/>
        <v>51260.63107497184</v>
      </c>
      <c r="V32" s="56"/>
      <c r="W32" s="110"/>
      <c r="X32" s="118"/>
      <c r="Y32" s="115">
        <f>SUM(Y6:Y31)</f>
        <v>3.0037917846952986</v>
      </c>
      <c r="Z32" s="137"/>
      <c r="AA32" s="138">
        <f>SUM(AA6:AA30)</f>
        <v>1</v>
      </c>
      <c r="AB32" s="137"/>
      <c r="AC32" s="139">
        <f>SUM(AC6:AC30)</f>
        <v>0.69641356634525375</v>
      </c>
      <c r="AD32" s="137"/>
      <c r="AE32" s="139">
        <f>SUM(AE6:AE30)</f>
        <v>0.37175887997237728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6.9001272154671494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18522.711074971841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0.76648775894538612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1447.1288888888889</v>
      </c>
      <c r="AB37" s="122">
        <f>IF($J37=0,0,AC37/($J37))</f>
        <v>0.23351224105461382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440.87111111111085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2360.0000000000005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6.8499114736017191E-2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0.76648775894538623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1808.9111111111119</v>
      </c>
      <c r="AB38" s="122">
        <f>IF($J38=0,0,AC38/($J38))</f>
        <v>0.23351224105461374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551.0888888888885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2360.0000000000005</v>
      </c>
      <c r="AJ38" s="148">
        <f t="shared" ref="AJ38:AJ64" si="38">(AA38+AC38)</f>
        <v>2360.0000000000005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0.41650542550476483</v>
      </c>
      <c r="AA39" s="147">
        <f t="shared" ref="AA39:AA64" si="40">$J39*Z39</f>
        <v>0</v>
      </c>
      <c r="AB39" s="122">
        <f>AB8</f>
        <v>0.46204638095912315</v>
      </c>
      <c r="AC39" s="147">
        <f t="shared" ref="AC39:AC64" si="41">$J39*AB39</f>
        <v>0</v>
      </c>
      <c r="AD39" s="122">
        <f>AD8</f>
        <v>0.12144819353611203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0.41650542550476483</v>
      </c>
      <c r="AA40" s="147">
        <f t="shared" si="40"/>
        <v>0</v>
      </c>
      <c r="AB40" s="122">
        <f>AB9</f>
        <v>0.4620463809591232</v>
      </c>
      <c r="AC40" s="147">
        <f t="shared" si="41"/>
        <v>0</v>
      </c>
      <c r="AD40" s="122">
        <f>AD9</f>
        <v>0.12144819353611194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4287.5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0.12444489594520071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4287.5</v>
      </c>
      <c r="AH41" s="123">
        <f t="shared" si="37"/>
        <v>1</v>
      </c>
      <c r="AI41" s="112">
        <f t="shared" si="37"/>
        <v>4287.5</v>
      </c>
      <c r="AJ41" s="148">
        <f t="shared" si="38"/>
        <v>0</v>
      </c>
      <c r="AK41" s="147">
        <f t="shared" si="39"/>
        <v>4287.5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14558.88</v>
      </c>
      <c r="J65" s="39">
        <f>SUM(J37:J64)</f>
        <v>14558.88</v>
      </c>
      <c r="K65" s="40">
        <f>SUM(K37:K64)</f>
        <v>1</v>
      </c>
      <c r="L65" s="22">
        <f>SUM(L37:L64)</f>
        <v>0.39738600412155689</v>
      </c>
      <c r="M65" s="24">
        <f>SUM(M37:M64)</f>
        <v>0.42257219980843469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3639.7200000000007</v>
      </c>
      <c r="AB65" s="137"/>
      <c r="AC65" s="153">
        <f>SUM(AC37:AC64)</f>
        <v>1375.6399999999994</v>
      </c>
      <c r="AD65" s="137"/>
      <c r="AE65" s="153">
        <f>SUM(AE37:AE64)</f>
        <v>383.68000000000006</v>
      </c>
      <c r="AF65" s="137"/>
      <c r="AG65" s="153">
        <f>SUM(AG37:AG64)</f>
        <v>4671.18</v>
      </c>
      <c r="AH65" s="137"/>
      <c r="AI65" s="153">
        <f>SUM(AI37:AI64)</f>
        <v>10070.219999999999</v>
      </c>
      <c r="AJ65" s="153">
        <f>SUM(AJ37:AJ64)</f>
        <v>5015.3599999999997</v>
      </c>
      <c r="AK65" s="153">
        <f>SUM(AK37:AK64)</f>
        <v>5054.8599999999997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14558.880000000003</v>
      </c>
      <c r="J70" s="51">
        <f t="shared" ref="J70:J77" si="44">J124*I$83</f>
        <v>14558.880000000003</v>
      </c>
      <c r="K70" s="40">
        <f>B70/B$76</f>
        <v>0.39413487793854846</v>
      </c>
      <c r="L70" s="22">
        <f t="shared" ref="L70:L75" si="45">(L124*G$37*F$9/F$7)/B$130</f>
        <v>0.39738600412155689</v>
      </c>
      <c r="M70" s="24">
        <f>J70/B$76</f>
        <v>0.42257219980843475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3639.7200000000007</v>
      </c>
      <c r="AB70" s="156">
        <f>Poor!AB70</f>
        <v>0.25</v>
      </c>
      <c r="AC70" s="147">
        <f>$J70*AB70</f>
        <v>3639.7200000000007</v>
      </c>
      <c r="AD70" s="156">
        <f>Poor!AD70</f>
        <v>0.25</v>
      </c>
      <c r="AE70" s="147">
        <f>$J70*AD70</f>
        <v>3639.7200000000007</v>
      </c>
      <c r="AF70" s="156">
        <f>Poor!AF70</f>
        <v>0.25</v>
      </c>
      <c r="AG70" s="147">
        <f>$J70*AF70</f>
        <v>3639.7200000000007</v>
      </c>
      <c r="AH70" s="155">
        <f>SUM(Z70,AB70,AD70,AF70)</f>
        <v>1</v>
      </c>
      <c r="AI70" s="147">
        <f>SUM(AA70,AC70,AE70,AG70)</f>
        <v>14558.880000000003</v>
      </c>
      <c r="AJ70" s="148">
        <f>(AA70+AC70)</f>
        <v>7279.4400000000014</v>
      </c>
      <c r="AK70" s="147">
        <f>(AE70+AG70)</f>
        <v>7279.4400000000014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-2424.0161211583559</v>
      </c>
      <c r="K74" s="40">
        <f>B74/B$76</f>
        <v>0.13859392323812963</v>
      </c>
      <c r="L74" s="22">
        <f t="shared" si="45"/>
        <v>0</v>
      </c>
      <c r="M74" s="24">
        <f>J74/B$76</f>
        <v>-7.0357185764907432E-2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-2264.0800000000013</v>
      </c>
      <c r="AD74" s="156"/>
      <c r="AE74" s="147">
        <f>AE30*$I$84/4</f>
        <v>-3256.0400000000009</v>
      </c>
      <c r="AF74" s="156"/>
      <c r="AG74" s="147">
        <f>AG30*$I$84/4</f>
        <v>818.58775710570956</v>
      </c>
      <c r="AH74" s="155"/>
      <c r="AI74" s="147">
        <f>SUM(AA74,AC74,AE74,AG74)</f>
        <v>-4701.5322428942927</v>
      </c>
      <c r="AJ74" s="148">
        <f>(AA74+AC74)</f>
        <v>-2264.0800000000013</v>
      </c>
      <c r="AK74" s="147">
        <f>(AE74+AG74)</f>
        <v>-2437.4522428942914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2424.0161211583559</v>
      </c>
      <c r="K75" s="40">
        <f>B75/B$76</f>
        <v>0</v>
      </c>
      <c r="L75" s="22">
        <f t="shared" si="45"/>
        <v>0</v>
      </c>
      <c r="M75" s="24">
        <f>J75/B$76</f>
        <v>7.0357185764907432E-2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212.87224289429105</v>
      </c>
      <c r="AJ75" s="151">
        <f>AJ76-SUM(AJ70,AJ74)</f>
        <v>0</v>
      </c>
      <c r="AK75" s="149">
        <f>AJ75+AK76-SUM(AK70,AK74)</f>
        <v>212.87224289429105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14558.880000000003</v>
      </c>
      <c r="J76" s="51">
        <f t="shared" si="44"/>
        <v>14558.880000000003</v>
      </c>
      <c r="K76" s="40">
        <f>SUM(K70:K75)</f>
        <v>1.9617093447190888</v>
      </c>
      <c r="L76" s="22">
        <f>SUM(L70:L75)</f>
        <v>0.39738600412155689</v>
      </c>
      <c r="M76" s="24">
        <f>SUM(M70:M75)</f>
        <v>0.42257219980843475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3639.7200000000007</v>
      </c>
      <c r="AB76" s="137"/>
      <c r="AC76" s="153">
        <f>AC65</f>
        <v>1375.6399999999994</v>
      </c>
      <c r="AD76" s="137"/>
      <c r="AE76" s="153">
        <f>AE65</f>
        <v>383.68000000000006</v>
      </c>
      <c r="AF76" s="137"/>
      <c r="AG76" s="153">
        <f>AG65</f>
        <v>4671.18</v>
      </c>
      <c r="AH76" s="137"/>
      <c r="AI76" s="153">
        <f>SUM(AA76,AC76,AE76,AG76)</f>
        <v>10070.220000000001</v>
      </c>
      <c r="AJ76" s="154">
        <f>SUM(AA76,AC76)</f>
        <v>5015.3600000000006</v>
      </c>
      <c r="AK76" s="154">
        <f>SUM(AE76,AG76)</f>
        <v>5054.8600000000006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20946.727196130196</v>
      </c>
      <c r="J77" s="100">
        <f t="shared" si="44"/>
        <v>18522.711074971841</v>
      </c>
      <c r="K77" s="40"/>
      <c r="L77" s="22">
        <f>-(L131*G$37*F$9/F$7)/B$130</f>
        <v>-0.60797977523380231</v>
      </c>
      <c r="M77" s="24">
        <f>-J77/B$76</f>
        <v>-0.53762258946889507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2264.0800000000017</v>
      </c>
      <c r="AD77" s="112"/>
      <c r="AE77" s="111">
        <f>AE31*$I$84/4</f>
        <v>4685.2823359351842</v>
      </c>
      <c r="AF77" s="112"/>
      <c r="AG77" s="111">
        <f>AG31*$I$84/4</f>
        <v>0</v>
      </c>
      <c r="AH77" s="110"/>
      <c r="AI77" s="154">
        <f>SUM(AA77,AC77,AE77,AG77)</f>
        <v>6949.3623359351859</v>
      </c>
      <c r="AJ77" s="153">
        <f>SUM(AA77,AC77)</f>
        <v>2264.0800000000017</v>
      </c>
      <c r="AK77" s="160">
        <f>SUM(AE77,AG77)</f>
        <v>4685.2823359351842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-2264.0800000000013</v>
      </c>
      <c r="AD79" s="112"/>
      <c r="AE79" s="112">
        <f>AC79-AC74+AE65-AE70</f>
        <v>-3256.0400000000009</v>
      </c>
      <c r="AF79" s="112"/>
      <c r="AG79" s="112">
        <f>AE79-AE74+AG65-AG70</f>
        <v>1031.4599999999996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0.16911290768426693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0.16911290768426693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0.30723372529504001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0.30723372529504001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1.043260393824712</v>
      </c>
      <c r="J119" s="24">
        <f>SUM(J91:J118)</f>
        <v>1.043260393824712</v>
      </c>
      <c r="K119" s="22">
        <f>SUM(K91:K118)</f>
        <v>4.0735752389559234</v>
      </c>
      <c r="L119" s="22">
        <f>SUM(L91:L118)</f>
        <v>0.98107987072558234</v>
      </c>
      <c r="M119" s="57">
        <f t="shared" si="49"/>
        <v>1.043260393824712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1.043260393824712</v>
      </c>
      <c r="J124" s="237">
        <f>IF(SUMPRODUCT($B$124:$B124,$H$124:$H124)&lt;J$119,($B124*$H124),J$119)</f>
        <v>1.043260393824712</v>
      </c>
      <c r="K124" s="22">
        <f>(B124)</f>
        <v>1.6055380795793861</v>
      </c>
      <c r="L124" s="29">
        <f>IF(SUMPRODUCT($B$124:$B124,$H$124:$H124)&lt;L$119,($B124*$H124),L$119)</f>
        <v>0.98107987072558234</v>
      </c>
      <c r="M124" s="57">
        <f t="shared" si="63"/>
        <v>1.043260393824712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-0.17370017564518125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-0.17370017564518125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0.17370017564518125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0.17370017564518125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1.043260393824712</v>
      </c>
      <c r="J130" s="228">
        <f>(J119)</f>
        <v>1.043260393824712</v>
      </c>
      <c r="K130" s="22">
        <f>(B130)</f>
        <v>4.0735752389559234</v>
      </c>
      <c r="L130" s="22">
        <f>(L119)</f>
        <v>0.98107987072558234</v>
      </c>
      <c r="M130" s="57">
        <f t="shared" si="63"/>
        <v>1.043260393824712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1.5010008231384275</v>
      </c>
      <c r="J131" s="237">
        <f>IF(SUMPRODUCT($B124:$B125,$H124:$H125)&gt;(J119-J128),SUMPRODUCT($B124:$B125,$H124:$H125)+J128-J119,0)</f>
        <v>1.3273006474932463</v>
      </c>
      <c r="K131" s="29"/>
      <c r="L131" s="29">
        <f>IF(I131&lt;SUM(L126:L127),0,I131-(SUM(L126:L127)))</f>
        <v>1.5010008231384275</v>
      </c>
      <c r="M131" s="237">
        <f>IF(I131&lt;SUM(M126:M127),0,I131-(SUM(M126:M127)))</f>
        <v>1.5010008231384275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7567.1539264906314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6707.3489708648185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0.38698980713040326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5.3736462444936094E-2</v>
      </c>
      <c r="AB8" s="125">
        <f>IF($Y8=0,0,AC8/$Y8)</f>
        <v>0.42269503494603577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5.8694403450746856E-2</v>
      </c>
      <c r="AD8" s="125">
        <f>IF($Y8=0,0,AE8/$Y8)</f>
        <v>0.19031515792356091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2.6426699484142703E-2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5.6215432947841475E-2</v>
      </c>
      <c r="AK8" s="119">
        <f t="shared" si="15"/>
        <v>1.3213349742071352E-2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0.38698980713040326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7.7397961426080658E-2</v>
      </c>
      <c r="AB9" s="125">
        <f>IF($Y9=0,0,AC9/$Y9)</f>
        <v>0.42269503494603572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8.4539006989207147E-2</v>
      </c>
      <c r="AD9" s="125">
        <f>IF($Y9=0,0,AE9/$Y9)</f>
        <v>0.19031515792356102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3.8063031584712206E-2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8.0968484207643909E-2</v>
      </c>
      <c r="AK9" s="119">
        <f t="shared" si="15"/>
        <v>1.9031515792356103E-2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0.19450928006989157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0.19450928006989157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0.77803712027956629</v>
      </c>
      <c r="Z10" s="125">
        <f>IF($Y10=0,0,AA10/$Y10)</f>
        <v>0.38698980713040326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0.30109243511728373</v>
      </c>
      <c r="AB10" s="125">
        <f>IF($Y10=0,0,AC10/$Y10)</f>
        <v>0.42269503494603572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0.32887242774588427</v>
      </c>
      <c r="AD10" s="125">
        <f>IF($Y10=0,0,AE10/$Y10)</f>
        <v>0.19031515792356102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0.14807225741639829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0.19450928006989157</v>
      </c>
      <c r="AJ10" s="120">
        <f t="shared" si="14"/>
        <v>0.314982431431584</v>
      </c>
      <c r="AK10" s="119">
        <f t="shared" si="15"/>
        <v>7.4036128708199145E-2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9874.7585270333457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0.38698980713040321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6.5063856510251941E-2</v>
      </c>
      <c r="AB11" s="125">
        <f>IF($Y11=0,0,AC11/$Y11)</f>
        <v>0.42269503494603572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7.1066908209438825E-2</v>
      </c>
      <c r="AD11" s="125">
        <f>IF($Y11=0,0,AE11/$Y11)</f>
        <v>0.1903151579235611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3.1997323698740116E-2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4.2032022104607721E-2</v>
      </c>
      <c r="AJ11" s="120">
        <f t="shared" si="14"/>
        <v>6.8065382359845383E-2</v>
      </c>
      <c r="AK11" s="119">
        <f t="shared" si="15"/>
        <v>1.5998661849370058E-2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6.1870054453813911E-2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6.1870054453813911E-2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172.84570304087151</v>
      </c>
      <c r="U12" s="223">
        <v>6</v>
      </c>
      <c r="V12" s="56"/>
      <c r="W12" s="117"/>
      <c r="X12" s="118"/>
      <c r="Y12" s="183">
        <f t="shared" si="9"/>
        <v>0.24748021781525564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0.16581174593622128</v>
      </c>
      <c r="AF12" s="122">
        <f>1-SUM(Z12,AB12,AD12)</f>
        <v>0.32999999999999996</v>
      </c>
      <c r="AG12" s="121">
        <f>$M12*AF12*4</f>
        <v>8.1668471879034352E-2</v>
      </c>
      <c r="AH12" s="123">
        <f t="shared" si="12"/>
        <v>1</v>
      </c>
      <c r="AI12" s="183">
        <f t="shared" si="13"/>
        <v>6.1870054453813911E-2</v>
      </c>
      <c r="AJ12" s="120">
        <f t="shared" si="14"/>
        <v>0</v>
      </c>
      <c r="AK12" s="119">
        <f t="shared" si="15"/>
        <v>0.12374010890762782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2.2307738404642573E-3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2.2307738404642573E-3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8.9230953618570294E-3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8.9230953618570294E-3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2.2307738404642573E-3</v>
      </c>
      <c r="AJ14" s="120">
        <f t="shared" si="14"/>
        <v>4.4615476809285147E-3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4.3699766733006636E-2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4.3699766733006636E-2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0.17479906693202654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0.17479906693202654</v>
      </c>
      <c r="AH16" s="123">
        <f t="shared" si="12"/>
        <v>1</v>
      </c>
      <c r="AI16" s="183">
        <f t="shared" si="13"/>
        <v>4.3699766733006636E-2</v>
      </c>
      <c r="AJ16" s="120">
        <f t="shared" si="14"/>
        <v>0</v>
      </c>
      <c r="AK16" s="119">
        <f t="shared" si="15"/>
        <v>8.7399533466013271E-2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0.11650749629800537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0.11650749629800537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0.46602998519202149</v>
      </c>
      <c r="Z17" s="156">
        <f>Poor!Z17</f>
        <v>0.29409999999999997</v>
      </c>
      <c r="AA17" s="121">
        <f t="shared" si="16"/>
        <v>0.13705941864497351</v>
      </c>
      <c r="AB17" s="156">
        <f>Poor!AB17</f>
        <v>0.17649999999999999</v>
      </c>
      <c r="AC17" s="121">
        <f t="shared" si="7"/>
        <v>8.2254292386391786E-2</v>
      </c>
      <c r="AD17" s="156">
        <f>Poor!AD17</f>
        <v>0.23530000000000001</v>
      </c>
      <c r="AE17" s="121">
        <f t="shared" si="8"/>
        <v>0.10965685551568266</v>
      </c>
      <c r="AF17" s="122">
        <f t="shared" si="10"/>
        <v>0.29410000000000003</v>
      </c>
      <c r="AG17" s="121">
        <f t="shared" si="11"/>
        <v>0.13705941864497354</v>
      </c>
      <c r="AH17" s="123">
        <f t="shared" si="12"/>
        <v>1</v>
      </c>
      <c r="AI17" s="183">
        <f t="shared" si="13"/>
        <v>0.11650749629800536</v>
      </c>
      <c r="AJ17" s="120">
        <f t="shared" si="14"/>
        <v>0.10965685551568265</v>
      </c>
      <c r="AK17" s="119">
        <f t="shared" si="15"/>
        <v>0.1233581370803281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8.826204856379128E-3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8.826204856379128E-3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1.2385779416090302E-2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1.2385779416090302E-2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64051.78452536578</v>
      </c>
      <c r="T23" s="179">
        <f>SUM(T7:T22)</f>
        <v>64443.093697422788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2.0732323552743816E-2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2.0732323552743816E-2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8.2929294210975266E-2</v>
      </c>
      <c r="Z27" s="156">
        <f>Poor!Z27</f>
        <v>0.25</v>
      </c>
      <c r="AA27" s="121">
        <f t="shared" si="16"/>
        <v>2.0732323552743816E-2</v>
      </c>
      <c r="AB27" s="156">
        <f>Poor!AB27</f>
        <v>0.25</v>
      </c>
      <c r="AC27" s="121">
        <f t="shared" si="7"/>
        <v>2.0732323552743816E-2</v>
      </c>
      <c r="AD27" s="156">
        <f>Poor!AD27</f>
        <v>0.25</v>
      </c>
      <c r="AE27" s="121">
        <f t="shared" si="8"/>
        <v>2.0732323552743816E-2</v>
      </c>
      <c r="AF27" s="122">
        <f t="shared" si="10"/>
        <v>0.25</v>
      </c>
      <c r="AG27" s="121">
        <f t="shared" si="11"/>
        <v>2.0732323552743816E-2</v>
      </c>
      <c r="AH27" s="123">
        <f t="shared" si="12"/>
        <v>1</v>
      </c>
      <c r="AI27" s="183">
        <f t="shared" si="13"/>
        <v>2.0732323552743816E-2</v>
      </c>
      <c r="AJ27" s="120">
        <f t="shared" si="14"/>
        <v>2.0732323552743816E-2</v>
      </c>
      <c r="AK27" s="119">
        <f t="shared" si="15"/>
        <v>2.0732323552743816E-2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0.21003536370100373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0.21003536370100373</v>
      </c>
      <c r="N29" s="229"/>
      <c r="P29" s="22"/>
      <c r="V29" s="56"/>
      <c r="W29" s="110"/>
      <c r="X29" s="118"/>
      <c r="Y29" s="183">
        <f t="shared" si="9"/>
        <v>0.84014145480401492</v>
      </c>
      <c r="Z29" s="156">
        <f>Poor!Z29</f>
        <v>0.25</v>
      </c>
      <c r="AA29" s="121">
        <f t="shared" si="16"/>
        <v>0.21003536370100373</v>
      </c>
      <c r="AB29" s="156">
        <f>Poor!AB29</f>
        <v>0.25</v>
      </c>
      <c r="AC29" s="121">
        <f t="shared" si="7"/>
        <v>0.21003536370100373</v>
      </c>
      <c r="AD29" s="156">
        <f>Poor!AD29</f>
        <v>0.25</v>
      </c>
      <c r="AE29" s="121">
        <f t="shared" si="8"/>
        <v>0.21003536370100373</v>
      </c>
      <c r="AF29" s="122">
        <f t="shared" si="10"/>
        <v>0.25</v>
      </c>
      <c r="AG29" s="121">
        <f t="shared" si="11"/>
        <v>0.21003536370100373</v>
      </c>
      <c r="AH29" s="123">
        <f t="shared" si="12"/>
        <v>1</v>
      </c>
      <c r="AI29" s="183">
        <f t="shared" si="13"/>
        <v>0.21003536370100373</v>
      </c>
      <c r="AJ29" s="120">
        <f t="shared" si="14"/>
        <v>0.21003536370100373</v>
      </c>
      <c r="AK29" s="119">
        <f t="shared" si="15"/>
        <v>0.21003536370100373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2.4233575143302613</v>
      </c>
      <c r="J30" s="231">
        <f>IF(I$32&lt;=1,I30,1-SUM(J6:J29))</f>
        <v>-4.7784277287235888E-2</v>
      </c>
      <c r="K30" s="22">
        <f t="shared" si="4"/>
        <v>0.60560871481942702</v>
      </c>
      <c r="L30" s="22">
        <f>IF(L124=L119,0,IF(K30="",0,(L119-L124)/(B119-B124)*K30))</f>
        <v>0.33149243264413358</v>
      </c>
      <c r="M30" s="175">
        <f t="shared" si="6"/>
        <v>-4.7784277287235888E-2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-0.19113710914894355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-0.45501201627116866</v>
      </c>
      <c r="AE30" s="187">
        <f>IF(AE79*4/$I$83+SUM(AE6:AE29)&lt;1,AE79*4/$I$83,1-SUM(AE6:AE29))</f>
        <v>8.696968141810324E-2</v>
      </c>
      <c r="AF30" s="122">
        <f>IF($Y30=0,0,AG30/($Y$30))</f>
        <v>-1.1168455908351067</v>
      </c>
      <c r="AG30" s="187">
        <f>IF(AG79*4/$I$83+SUM(AG6:AG29)&lt;1,AG79*4/$I$83,1-SUM(AG6:AG29))</f>
        <v>0.21347063759796614</v>
      </c>
      <c r="AH30" s="123">
        <f t="shared" si="12"/>
        <v>-1.5718576071062753</v>
      </c>
      <c r="AI30" s="183">
        <f t="shared" si="13"/>
        <v>7.5110079754017345E-2</v>
      </c>
      <c r="AJ30" s="120">
        <f t="shared" si="14"/>
        <v>0</v>
      </c>
      <c r="AK30" s="119">
        <f t="shared" si="15"/>
        <v>0.15022015950803469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-0.34848827539657612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3.5729208855272607</v>
      </c>
      <c r="J32" s="17"/>
      <c r="L32" s="22">
        <f>SUM(L6:L30)</f>
        <v>1.3484882753965761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15012.071163449458</v>
      </c>
      <c r="T32" s="234">
        <f t="shared" si="24"/>
        <v>14620.76199139245</v>
      </c>
      <c r="V32" s="56"/>
      <c r="W32" s="110"/>
      <c r="X32" s="118"/>
      <c r="Y32" s="115">
        <f>SUM(Y6:Y31)</f>
        <v>3.5084225718349873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0.23224717920021773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7990.4826743300109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0.13837292062359316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7990.4826743300109</v>
      </c>
      <c r="AH37" s="123">
        <f>SUM(Z37,AB37,AD37,AF37)</f>
        <v>1</v>
      </c>
      <c r="AI37" s="112">
        <f>SUM(AA37,AC37,AE37,AG37)</f>
        <v>7990.4826743300109</v>
      </c>
      <c r="AJ37" s="148">
        <f>(AA37+AC37)</f>
        <v>0</v>
      </c>
      <c r="AK37" s="147">
        <f>(AE37+AG37)</f>
        <v>7990.4826743300109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2469.6206685825027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4.2766956474604351E-2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2469.6206685825027</v>
      </c>
      <c r="AH38" s="123">
        <f t="shared" ref="AH38:AI58" si="35">SUM(Z38,AB38,AD38,AF38)</f>
        <v>1</v>
      </c>
      <c r="AI38" s="112">
        <f t="shared" si="35"/>
        <v>2469.6206685825027</v>
      </c>
      <c r="AJ38" s="148">
        <f t="shared" ref="AJ38:AJ64" si="36">(AA38+AC38)</f>
        <v>0</v>
      </c>
      <c r="AK38" s="147">
        <f t="shared" ref="AK38:AK64" si="37">(AE38+AG38)</f>
        <v>2469.6206685825027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0.38698980713040326</v>
      </c>
      <c r="AA39" s="147">
        <f>$J39*Z39</f>
        <v>251.15638482763171</v>
      </c>
      <c r="AB39" s="122">
        <f>AB8</f>
        <v>0.42269503494603577</v>
      </c>
      <c r="AC39" s="147">
        <f>$J39*AB39</f>
        <v>274.32907767997722</v>
      </c>
      <c r="AD39" s="122">
        <f>AD8</f>
        <v>0.19031515792356091</v>
      </c>
      <c r="AE39" s="147">
        <f>$J39*AD39</f>
        <v>123.51453749239103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648.99999999999989</v>
      </c>
      <c r="AJ39" s="148">
        <f t="shared" si="36"/>
        <v>525.48546250760887</v>
      </c>
      <c r="AK39" s="147">
        <f t="shared" si="37"/>
        <v>123.51453749239103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767.3919769740063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1.3289093218127771E-2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0.38698980713040326</v>
      </c>
      <c r="AA40" s="147">
        <f>$J40*Z40</f>
        <v>296.97287316258956</v>
      </c>
      <c r="AB40" s="122">
        <f>AB9</f>
        <v>0.42269503494603572</v>
      </c>
      <c r="AC40" s="147">
        <f>$J40*AB40</f>
        <v>324.37277852433505</v>
      </c>
      <c r="AD40" s="122">
        <f>AD9</f>
        <v>0.19031515792356102</v>
      </c>
      <c r="AE40" s="147">
        <f>$J40*AD40</f>
        <v>146.04632528708171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767.3919769740063</v>
      </c>
      <c r="AJ40" s="148">
        <f t="shared" si="36"/>
        <v>621.34565168692461</v>
      </c>
      <c r="AK40" s="147">
        <f t="shared" si="37"/>
        <v>146.04632528708171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2099.5320046963275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3.6358050855406908E-2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0.38698980713040321</v>
      </c>
      <c r="AA41" s="147">
        <f>$J41*Z41</f>
        <v>812.49748556154054</v>
      </c>
      <c r="AB41" s="122">
        <f>AB11</f>
        <v>0.42269503494603572</v>
      </c>
      <c r="AC41" s="147">
        <f>$J41*AB41</f>
        <v>887.46175409543457</v>
      </c>
      <c r="AD41" s="122">
        <f>AD11</f>
        <v>0.1903151579235611</v>
      </c>
      <c r="AE41" s="147">
        <f>$J41*AD41</f>
        <v>399.57276503935242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2099.5320046963275</v>
      </c>
      <c r="AJ41" s="148">
        <f t="shared" si="36"/>
        <v>1699.9592396569751</v>
      </c>
      <c r="AK41" s="147">
        <f t="shared" si="37"/>
        <v>399.57276503935242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106.41054096284982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1.8427344052029547E-3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26.602635240712456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53.205270481424911</v>
      </c>
      <c r="AF42" s="122">
        <f t="shared" si="31"/>
        <v>0.25</v>
      </c>
      <c r="AG42" s="147">
        <f t="shared" si="34"/>
        <v>26.602635240712456</v>
      </c>
      <c r="AH42" s="123">
        <f t="shared" si="35"/>
        <v>1</v>
      </c>
      <c r="AI42" s="112">
        <f t="shared" si="35"/>
        <v>106.41054096284982</v>
      </c>
      <c r="AJ42" s="148">
        <f t="shared" si="36"/>
        <v>26.602635240712456</v>
      </c>
      <c r="AK42" s="147">
        <f t="shared" si="37"/>
        <v>79.807905722137363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806.14046183977132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1.3960109130325414E-2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201.53511545994283</v>
      </c>
      <c r="AB43" s="156">
        <f>Poor!AB43</f>
        <v>0.25</v>
      </c>
      <c r="AC43" s="147">
        <f t="shared" si="39"/>
        <v>201.53511545994283</v>
      </c>
      <c r="AD43" s="156">
        <f>Poor!AD43</f>
        <v>0.25</v>
      </c>
      <c r="AE43" s="147">
        <f t="shared" si="40"/>
        <v>201.53511545994283</v>
      </c>
      <c r="AF43" s="122">
        <f t="shared" si="31"/>
        <v>0.25</v>
      </c>
      <c r="AG43" s="147">
        <f t="shared" si="34"/>
        <v>201.53511545994283</v>
      </c>
      <c r="AH43" s="123">
        <f t="shared" si="35"/>
        <v>1</v>
      </c>
      <c r="AI43" s="112">
        <f t="shared" si="35"/>
        <v>806.14046183977132</v>
      </c>
      <c r="AJ43" s="148">
        <f t="shared" si="36"/>
        <v>403.07023091988566</v>
      </c>
      <c r="AK43" s="147">
        <f t="shared" si="37"/>
        <v>403.07023091988566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1225.3335019964525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2.1219365878094629E-2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306.33337549911312</v>
      </c>
      <c r="AB44" s="156">
        <f>Poor!AB44</f>
        <v>0.25</v>
      </c>
      <c r="AC44" s="147">
        <f t="shared" si="39"/>
        <v>306.33337549911312</v>
      </c>
      <c r="AD44" s="156">
        <f>Poor!AD44</f>
        <v>0.25</v>
      </c>
      <c r="AE44" s="147">
        <f t="shared" si="40"/>
        <v>306.33337549911312</v>
      </c>
      <c r="AF44" s="122">
        <f t="shared" si="31"/>
        <v>0.25</v>
      </c>
      <c r="AG44" s="147">
        <f t="shared" si="34"/>
        <v>306.33337549911312</v>
      </c>
      <c r="AH44" s="123">
        <f t="shared" si="35"/>
        <v>1</v>
      </c>
      <c r="AI44" s="112">
        <f t="shared" si="35"/>
        <v>1225.3335019964525</v>
      </c>
      <c r="AJ44" s="148">
        <f t="shared" si="36"/>
        <v>612.66675099822623</v>
      </c>
      <c r="AK44" s="147">
        <f t="shared" si="37"/>
        <v>612.66675099822623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300.95910575351468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5.2117740753214884E-3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75.239776438378669</v>
      </c>
      <c r="AB45" s="156">
        <f>Poor!AB45</f>
        <v>0.25</v>
      </c>
      <c r="AC45" s="147">
        <f t="shared" si="39"/>
        <v>75.239776438378669</v>
      </c>
      <c r="AD45" s="156">
        <f>Poor!AD45</f>
        <v>0.25</v>
      </c>
      <c r="AE45" s="147">
        <f t="shared" si="40"/>
        <v>75.239776438378669</v>
      </c>
      <c r="AF45" s="122">
        <f t="shared" si="31"/>
        <v>0.25</v>
      </c>
      <c r="AG45" s="147">
        <f t="shared" si="34"/>
        <v>75.239776438378669</v>
      </c>
      <c r="AH45" s="123">
        <f t="shared" si="35"/>
        <v>1</v>
      </c>
      <c r="AI45" s="112">
        <f t="shared" si="35"/>
        <v>300.95910575351468</v>
      </c>
      <c r="AJ45" s="148">
        <f t="shared" si="36"/>
        <v>150.47955287675734</v>
      </c>
      <c r="AK45" s="147">
        <f t="shared" si="37"/>
        <v>150.47955287675734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59432.800000000003</v>
      </c>
      <c r="J65" s="39">
        <f>SUM(J37:J64)</f>
        <v>59671.670935135437</v>
      </c>
      <c r="K65" s="40">
        <f>SUM(K37:K64)</f>
        <v>1</v>
      </c>
      <c r="L65" s="22">
        <f>SUM(L37:L64)</f>
        <v>1.0345985869151109</v>
      </c>
      <c r="M65" s="24">
        <f>SUM(M37:M64)</f>
        <v>1.0333472610247538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12784.537646189909</v>
      </c>
      <c r="AB65" s="137"/>
      <c r="AC65" s="153">
        <f>SUM(AC37:AC64)</f>
        <v>12883.471877697182</v>
      </c>
      <c r="AD65" s="137"/>
      <c r="AE65" s="153">
        <f>SUM(AE37:AE64)</f>
        <v>12119.647165697685</v>
      </c>
      <c r="AF65" s="137"/>
      <c r="AG65" s="153">
        <f>SUM(AG37:AG64)</f>
        <v>21884.014245550658</v>
      </c>
      <c r="AH65" s="137"/>
      <c r="AI65" s="153">
        <f>SUM(AI37:AI64)</f>
        <v>59671.670935135437</v>
      </c>
      <c r="AJ65" s="153">
        <f>SUM(AJ37:AJ64)</f>
        <v>25668.009523887089</v>
      </c>
      <c r="AK65" s="153">
        <f>SUM(AK37:AK64)</f>
        <v>34003.661411248344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20478.055464847108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38045.671904353519</v>
      </c>
      <c r="J74" s="51">
        <f>J128*I$83</f>
        <v>-750.1926253581538</v>
      </c>
      <c r="K74" s="40">
        <f>B74/B$76</f>
        <v>9.9787015593890305E-2</v>
      </c>
      <c r="L74" s="22">
        <f>(L128*G$37*F$9/F$7)/B$130</f>
        <v>9.0123797040101428E-2</v>
      </c>
      <c r="M74" s="24">
        <f>J74/B$76</f>
        <v>-1.2991248317773591E-2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341.34665905597495</v>
      </c>
      <c r="AF74" s="156"/>
      <c r="AG74" s="147">
        <f>AG30*$I$83/4</f>
        <v>837.84932590826713</v>
      </c>
      <c r="AH74" s="155"/>
      <c r="AI74" s="147">
        <f>SUM(AA74,AC74,AE74,AG74)</f>
        <v>1179.1959849642421</v>
      </c>
      <c r="AJ74" s="148">
        <f>(AA74+AC74)</f>
        <v>0</v>
      </c>
      <c r="AK74" s="147">
        <f>(AE74+AG74)</f>
        <v>1179.1959849642421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23137.138518009058</v>
      </c>
      <c r="AB75" s="158"/>
      <c r="AC75" s="149">
        <f>AA75+AC65-SUM(AC70,AC74)</f>
        <v>30673.828371794625</v>
      </c>
      <c r="AD75" s="158"/>
      <c r="AE75" s="149">
        <f>AC75+AE65-SUM(AE70,AE74)</f>
        <v>37105.346854524716</v>
      </c>
      <c r="AF75" s="158"/>
      <c r="AG75" s="149">
        <f>IF(SUM(AG6:AG29)+((AG65-AG70-$J$75)*4/I$83)&lt;1,0,AG65-AG70-$J$75-(1-SUM(AG6:AG29))*I$83/4)</f>
        <v>15699.382895730771</v>
      </c>
      <c r="AH75" s="134"/>
      <c r="AI75" s="149">
        <f>AI76-SUM(AI70,AI74)</f>
        <v>37105.346854524716</v>
      </c>
      <c r="AJ75" s="151">
        <f>AJ76-SUM(AJ70,AJ74)</f>
        <v>14974.445476063855</v>
      </c>
      <c r="AK75" s="149">
        <f>AJ75+AK76-SUM(AK70,AK74)</f>
        <v>37105.346854524716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59432.799999999996</v>
      </c>
      <c r="J76" s="51">
        <f>J130*I$83</f>
        <v>59671.670935135429</v>
      </c>
      <c r="K76" s="40">
        <f>SUM(K70:K75)</f>
        <v>0.56365499031627642</v>
      </c>
      <c r="L76" s="22">
        <f>SUM(L70:L75)</f>
        <v>0.46048933050815943</v>
      </c>
      <c r="M76" s="24">
        <f>SUM(M70:M75)</f>
        <v>0.35737428515028441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12784.537646189909</v>
      </c>
      <c r="AB76" s="137"/>
      <c r="AC76" s="153">
        <f>AC65</f>
        <v>12883.471877697182</v>
      </c>
      <c r="AD76" s="137"/>
      <c r="AE76" s="153">
        <f>AE65</f>
        <v>12119.647165697685</v>
      </c>
      <c r="AF76" s="137"/>
      <c r="AG76" s="153">
        <f>AG65</f>
        <v>21884.014245550658</v>
      </c>
      <c r="AH76" s="137"/>
      <c r="AI76" s="153">
        <f>SUM(AA76,AC76,AE76,AG76)</f>
        <v>59671.670935135437</v>
      </c>
      <c r="AJ76" s="154">
        <f>SUM(AA76,AC76)</f>
        <v>25668.009523887093</v>
      </c>
      <c r="AK76" s="154">
        <f>SUM(AE76,AG76)</f>
        <v>34003.661411248344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0</v>
      </c>
      <c r="K77" s="40"/>
      <c r="L77" s="22">
        <f>-(L131*G$37*F$9/F$7)/B$130</f>
        <v>-6.8590844032905676E-2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15699.382895730771</v>
      </c>
      <c r="AB78" s="112"/>
      <c r="AC78" s="112">
        <f>IF(AA75&lt;0,0,AA75)</f>
        <v>23137.138518009058</v>
      </c>
      <c r="AD78" s="112"/>
      <c r="AE78" s="112">
        <f>AC75</f>
        <v>30673.828371794625</v>
      </c>
      <c r="AF78" s="112"/>
      <c r="AG78" s="112">
        <f>AE75</f>
        <v>37105.346854524716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23137.138518009058</v>
      </c>
      <c r="AB79" s="112"/>
      <c r="AC79" s="112">
        <f>AA79-AA74+AC65-AC70</f>
        <v>30673.828371794625</v>
      </c>
      <c r="AD79" s="112"/>
      <c r="AE79" s="112">
        <f>AC79-AC74+AE65-AE70</f>
        <v>37446.693513580693</v>
      </c>
      <c r="AF79" s="112"/>
      <c r="AG79" s="112">
        <f>AE79-AE74+AG65-AG70</f>
        <v>53642.579076163755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0.50896186774263852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0.50896186774263852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0.15730498385730707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0.15730498385730707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4.8879807367100639E-2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4.8879807367100639E-2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0.13373181246341764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0.13373181246341764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6.7779269267357152E-3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6.7779269267357152E-3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5.1347931263149356E-2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5.1347931263149356E-2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7.8048855519987026E-2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7.8048855519987026E-2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1.9169894338242427E-2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1.9169894338242427E-2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3.7856322485188314</v>
      </c>
      <c r="J119" s="24">
        <f>SUM(J91:J118)</f>
        <v>3.8008473740939777</v>
      </c>
      <c r="K119" s="22">
        <f>SUM(K91:K118)</f>
        <v>6.0690131999148269</v>
      </c>
      <c r="L119" s="22">
        <f>SUM(L91:L118)</f>
        <v>3.8054499882430526</v>
      </c>
      <c r="M119" s="57">
        <f t="shared" si="50"/>
        <v>3.8008473740939777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1.304370434418074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0.92969633863577927</v>
      </c>
      <c r="M126" s="57">
        <f t="shared" si="92"/>
        <v>1.304370434418074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2.4233575143302613</v>
      </c>
      <c r="J128" s="228">
        <f>(J30)</f>
        <v>-4.7784277287235888E-2</v>
      </c>
      <c r="K128" s="22">
        <f>(B128)</f>
        <v>0.60560871481942702</v>
      </c>
      <c r="L128" s="22">
        <f>IF(L124=L119,0,(L119-L124)/(B119-B124)*K128)</f>
        <v>0.33149243264413358</v>
      </c>
      <c r="M128" s="57">
        <f t="shared" si="90"/>
        <v>-4.7784277287235888E-2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3.7856322485188314</v>
      </c>
      <c r="J130" s="228">
        <f>(J119)</f>
        <v>3.8008473740939777</v>
      </c>
      <c r="K130" s="22">
        <f>(B130)</f>
        <v>6.0690131999148269</v>
      </c>
      <c r="L130" s="22">
        <f>(L119)</f>
        <v>3.8054499882430526</v>
      </c>
      <c r="M130" s="57">
        <f t="shared" si="90"/>
        <v>3.8008473740939777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0.25229014413879014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5680.2154686406366</v>
      </c>
      <c r="H72" s="109">
        <f>Middle!T7</f>
        <v>10599.154312541792</v>
      </c>
      <c r="I72" s="109">
        <f>Rich!T7</f>
        <v>7567.1539264906314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4987.5</v>
      </c>
      <c r="I73" s="109">
        <f>Rich!T8</f>
        <v>6707.3489708648185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4248</v>
      </c>
      <c r="I76" s="109">
        <f>Rich!T11</f>
        <v>9874.7585270333457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172.84570304087151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6509.2371191944094</v>
      </c>
      <c r="G88" s="109">
        <f>Poor!T23</f>
        <v>10551.866708539408</v>
      </c>
      <c r="H88" s="109">
        <f>Middle!T23</f>
        <v>27803.224613843387</v>
      </c>
      <c r="I88" s="109">
        <f>Rich!T23</f>
        <v>64443.093697422788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23321.871902954153</v>
      </c>
      <c r="G98" s="239">
        <f t="shared" si="0"/>
        <v>19279.242313609157</v>
      </c>
      <c r="H98" s="239">
        <f t="shared" si="0"/>
        <v>2027.8844083051772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39816.698569620821</v>
      </c>
      <c r="G99" s="239">
        <f t="shared" si="0"/>
        <v>35774.068980275828</v>
      </c>
      <c r="H99" s="239">
        <f t="shared" si="0"/>
        <v>18522.711074971845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72554.618569620812</v>
      </c>
      <c r="G100" s="239">
        <f t="shared" si="0"/>
        <v>68511.988980275812</v>
      </c>
      <c r="H100" s="239">
        <f t="shared" si="0"/>
        <v>51260.63107497184</v>
      </c>
      <c r="I100" s="239">
        <f t="shared" si="0"/>
        <v>14620.76199139245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2016-06-02T08:54:55Z</dcterms:modified>
  <cp:category/>
</cp:coreProperties>
</file>