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60" windowWidth="17700" windowHeight="160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E37" i="7"/>
  <c r="F37" i="7"/>
  <c r="G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G40" i="1"/>
  <c r="G40" i="7"/>
  <c r="F40" i="7"/>
  <c r="E40" i="7"/>
  <c r="H94" i="7"/>
  <c r="I94" i="7"/>
  <c r="B41" i="7"/>
  <c r="B95" i="7"/>
  <c r="C41" i="7"/>
  <c r="C95" i="7"/>
  <c r="D95" i="7"/>
  <c r="G41" i="1"/>
  <c r="G41" i="7"/>
  <c r="E41" i="7"/>
  <c r="F41" i="7"/>
  <c r="H95" i="7"/>
  <c r="I95" i="7"/>
  <c r="B42" i="7"/>
  <c r="B96" i="7"/>
  <c r="C42" i="7"/>
  <c r="C96" i="7"/>
  <c r="D96" i="7"/>
  <c r="G42" i="1"/>
  <c r="G42" i="7"/>
  <c r="E42" i="7"/>
  <c r="F42" i="7"/>
  <c r="H96" i="7"/>
  <c r="I96" i="7"/>
  <c r="B43" i="7"/>
  <c r="B97" i="7"/>
  <c r="C43" i="7"/>
  <c r="C97" i="7"/>
  <c r="D97" i="7"/>
  <c r="G43" i="1"/>
  <c r="G43" i="7"/>
  <c r="E43" i="7"/>
  <c r="F43" i="7"/>
  <c r="H97" i="7"/>
  <c r="I97" i="7"/>
  <c r="B44" i="7"/>
  <c r="B98" i="7"/>
  <c r="C44" i="7"/>
  <c r="C98" i="7"/>
  <c r="D98" i="7"/>
  <c r="G44" i="1"/>
  <c r="G44" i="7"/>
  <c r="E44" i="7"/>
  <c r="F44" i="7"/>
  <c r="H98" i="7"/>
  <c r="I98" i="7"/>
  <c r="B45" i="7"/>
  <c r="B99" i="7"/>
  <c r="C45" i="7"/>
  <c r="C99" i="7"/>
  <c r="D99" i="7"/>
  <c r="G45" i="1"/>
  <c r="G45" i="7"/>
  <c r="E45" i="7"/>
  <c r="F45" i="7"/>
  <c r="H99" i="7"/>
  <c r="I99" i="7"/>
  <c r="B46" i="7"/>
  <c r="B100" i="7"/>
  <c r="C46" i="7"/>
  <c r="C100" i="7"/>
  <c r="D100" i="7"/>
  <c r="G46" i="1"/>
  <c r="G46" i="7"/>
  <c r="E46" i="7"/>
  <c r="F46" i="7"/>
  <c r="H100" i="7"/>
  <c r="I100" i="7"/>
  <c r="B47" i="7"/>
  <c r="B101" i="7"/>
  <c r="C47" i="7"/>
  <c r="C101" i="7"/>
  <c r="D101" i="7"/>
  <c r="E47" i="7"/>
  <c r="G47" i="1"/>
  <c r="G47" i="7"/>
  <c r="F47" i="7"/>
  <c r="H101" i="7"/>
  <c r="I101" i="7"/>
  <c r="B48" i="7"/>
  <c r="B102" i="7"/>
  <c r="C48" i="7"/>
  <c r="C102" i="7"/>
  <c r="D102" i="7"/>
  <c r="E48" i="7"/>
  <c r="G48" i="1"/>
  <c r="G48" i="7"/>
  <c r="F48" i="7"/>
  <c r="H102" i="7"/>
  <c r="I102" i="7"/>
  <c r="B49" i="7"/>
  <c r="B103" i="7"/>
  <c r="C49" i="7"/>
  <c r="C103" i="7"/>
  <c r="D103" i="7"/>
  <c r="G49" i="1"/>
  <c r="G49" i="7"/>
  <c r="F49" i="7"/>
  <c r="E49" i="7"/>
  <c r="H103" i="7"/>
  <c r="I103" i="7"/>
  <c r="B50" i="7"/>
  <c r="B104" i="7"/>
  <c r="C50" i="7"/>
  <c r="C104" i="7"/>
  <c r="D104" i="7"/>
  <c r="G50" i="1"/>
  <c r="G50" i="7"/>
  <c r="F50" i="7"/>
  <c r="E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F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F70" i="7"/>
  <c r="H124" i="7"/>
  <c r="I124" i="7"/>
  <c r="I30" i="7"/>
  <c r="I32" i="7"/>
  <c r="B71" i="7"/>
  <c r="B125" i="7"/>
  <c r="I128" i="7"/>
  <c r="F71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70" i="8"/>
  <c r="B71" i="8"/>
  <c r="B72" i="8"/>
  <c r="B29" i="8"/>
  <c r="C29" i="8"/>
  <c r="D29" i="8"/>
  <c r="B80" i="8"/>
  <c r="B82" i="8"/>
  <c r="B81" i="8"/>
  <c r="B83" i="8"/>
  <c r="G37" i="8"/>
  <c r="H83" i="8"/>
  <c r="I83" i="8"/>
  <c r="F70" i="8"/>
  <c r="H70" i="8"/>
  <c r="F71" i="8"/>
  <c r="H71" i="8"/>
  <c r="F72" i="8"/>
  <c r="H72" i="8"/>
  <c r="T26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8"/>
  <c r="F37" i="8"/>
  <c r="H91" i="8"/>
  <c r="I91" i="8"/>
  <c r="B38" i="8"/>
  <c r="B92" i="8"/>
  <c r="C38" i="8"/>
  <c r="C92" i="8"/>
  <c r="D92" i="8"/>
  <c r="E38" i="8"/>
  <c r="G38" i="8"/>
  <c r="F38" i="8"/>
  <c r="H92" i="8"/>
  <c r="I92" i="8"/>
  <c r="B39" i="8"/>
  <c r="B93" i="8"/>
  <c r="C39" i="8"/>
  <c r="C93" i="8"/>
  <c r="D93" i="8"/>
  <c r="E39" i="8"/>
  <c r="G39" i="8"/>
  <c r="F39" i="8"/>
  <c r="H93" i="8"/>
  <c r="I93" i="8"/>
  <c r="B40" i="8"/>
  <c r="B94" i="8"/>
  <c r="C40" i="8"/>
  <c r="C94" i="8"/>
  <c r="D94" i="8"/>
  <c r="G40" i="8"/>
  <c r="F40" i="8"/>
  <c r="E40" i="8"/>
  <c r="H94" i="8"/>
  <c r="I94" i="8"/>
  <c r="B41" i="8"/>
  <c r="B95" i="8"/>
  <c r="C41" i="8"/>
  <c r="C95" i="8"/>
  <c r="D95" i="8"/>
  <c r="G41" i="8"/>
  <c r="E41" i="8"/>
  <c r="F41" i="8"/>
  <c r="H95" i="8"/>
  <c r="I95" i="8"/>
  <c r="B42" i="8"/>
  <c r="B96" i="8"/>
  <c r="C42" i="8"/>
  <c r="C96" i="8"/>
  <c r="D96" i="8"/>
  <c r="G42" i="8"/>
  <c r="E42" i="8"/>
  <c r="F42" i="8"/>
  <c r="H96" i="8"/>
  <c r="I96" i="8"/>
  <c r="B43" i="8"/>
  <c r="B97" i="8"/>
  <c r="C43" i="8"/>
  <c r="C97" i="8"/>
  <c r="D97" i="8"/>
  <c r="G43" i="8"/>
  <c r="E43" i="8"/>
  <c r="F43" i="8"/>
  <c r="H97" i="8"/>
  <c r="I97" i="8"/>
  <c r="B44" i="8"/>
  <c r="B98" i="8"/>
  <c r="C44" i="8"/>
  <c r="C98" i="8"/>
  <c r="D98" i="8"/>
  <c r="G44" i="8"/>
  <c r="E44" i="8"/>
  <c r="F44" i="8"/>
  <c r="H98" i="8"/>
  <c r="I98" i="8"/>
  <c r="B45" i="8"/>
  <c r="B99" i="8"/>
  <c r="C45" i="8"/>
  <c r="C99" i="8"/>
  <c r="D99" i="8"/>
  <c r="G45" i="8"/>
  <c r="E45" i="8"/>
  <c r="F45" i="8"/>
  <c r="H99" i="8"/>
  <c r="I99" i="8"/>
  <c r="B46" i="8"/>
  <c r="B100" i="8"/>
  <c r="C46" i="8"/>
  <c r="C100" i="8"/>
  <c r="D100" i="8"/>
  <c r="G46" i="8"/>
  <c r="E46" i="8"/>
  <c r="F46" i="8"/>
  <c r="H100" i="8"/>
  <c r="I100" i="8"/>
  <c r="B47" i="8"/>
  <c r="B101" i="8"/>
  <c r="C47" i="8"/>
  <c r="C101" i="8"/>
  <c r="D101" i="8"/>
  <c r="E47" i="8"/>
  <c r="G47" i="8"/>
  <c r="F47" i="8"/>
  <c r="H101" i="8"/>
  <c r="I101" i="8"/>
  <c r="B48" i="8"/>
  <c r="B102" i="8"/>
  <c r="C48" i="8"/>
  <c r="C102" i="8"/>
  <c r="D102" i="8"/>
  <c r="E48" i="8"/>
  <c r="G48" i="8"/>
  <c r="F48" i="8"/>
  <c r="H102" i="8"/>
  <c r="I102" i="8"/>
  <c r="B49" i="8"/>
  <c r="B103" i="8"/>
  <c r="C49" i="8"/>
  <c r="C103" i="8"/>
  <c r="D103" i="8"/>
  <c r="G49" i="8"/>
  <c r="F49" i="8"/>
  <c r="E49" i="8"/>
  <c r="H103" i="8"/>
  <c r="I103" i="8"/>
  <c r="B50" i="8"/>
  <c r="B104" i="8"/>
  <c r="C50" i="8"/>
  <c r="C104" i="8"/>
  <c r="D104" i="8"/>
  <c r="G50" i="8"/>
  <c r="F50" i="8"/>
  <c r="E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F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F40" i="12"/>
  <c r="E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F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E48" i="12"/>
  <c r="F48" i="12"/>
  <c r="H102" i="12"/>
  <c r="B48" i="12"/>
  <c r="B102" i="12"/>
  <c r="C48" i="12"/>
  <c r="C102" i="12"/>
  <c r="D102" i="12"/>
  <c r="I102" i="12"/>
  <c r="G49" i="12"/>
  <c r="F49" i="12"/>
  <c r="E49" i="12"/>
  <c r="H103" i="12"/>
  <c r="B49" i="12"/>
  <c r="B103" i="12"/>
  <c r="C49" i="12"/>
  <c r="C103" i="12"/>
  <c r="D103" i="12"/>
  <c r="I103" i="12"/>
  <c r="G50" i="12"/>
  <c r="F50" i="12"/>
  <c r="E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F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<sst xmlns="http://schemas.openxmlformats.org/spreadsheetml/2006/main" count="790" uniqueCount="145">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</sst>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0.0117333437110834</c:v>
                </c:pt>
                <c:pt idx="2" formatCode="0.0%">
                  <c:v>0.0117333437110834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0.0124971808841843</c:v>
                </c:pt>
                <c:pt idx="2" formatCode="0.0%">
                  <c:v>0.0124971808841843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0.210168398527397</c:v>
                </c:pt>
                <c:pt idx="2" formatCode="0.0%">
                  <c:v>0.210168398527397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0.00930689663760896</c:v>
                </c:pt>
                <c:pt idx="2" formatCode="0.0%">
                  <c:v>0.0312054769613948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0.205872579296814</c:v>
                </c:pt>
                <c:pt idx="2" formatCode="0.0%">
                  <c:v>0.363093577723335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157400"/>
        <c:axId val="-2061098392"/>
      </c:barChart>
      <c:catAx>
        <c:axId val="-206115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098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098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157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0.175893792942821</c:v>
                </c:pt>
                <c:pt idx="2">
                  <c:v>0.175893792942821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0.0659601723535577</c:v>
                </c:pt>
                <c:pt idx="2">
                  <c:v>0.0653390232637722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0.0175893792942821</c:v>
                </c:pt>
                <c:pt idx="2">
                  <c:v>0.017589379294282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0.0426505182252242</c:v>
                </c:pt>
                <c:pt idx="2">
                  <c:v>0.0432529802025627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0.28123908233376</c:v>
                </c:pt>
                <c:pt idx="2">
                  <c:v>0.28123908233376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0.0407592872947479</c:v>
                </c:pt>
                <c:pt idx="2">
                  <c:v>0.0413350345972503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0.211072551531385</c:v>
                </c:pt>
                <c:pt idx="2">
                  <c:v>0.211072551531385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0.104711773611273</c:v>
                </c:pt>
                <c:pt idx="2">
                  <c:v>0.104711773611273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3664920"/>
        <c:axId val="-2023423912"/>
      </c:barChart>
      <c:catAx>
        <c:axId val="-202366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342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3423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3664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0.0982499930148736</c:v>
                </c:pt>
                <c:pt idx="2">
                  <c:v>0.0982499930148736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0.0351677827346304</c:v>
                </c:pt>
                <c:pt idx="2">
                  <c:v>0.0351278752546308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0.0105503348203891</c:v>
                </c:pt>
                <c:pt idx="2">
                  <c:v>0.0105503348203891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0.0255823266990156</c:v>
                </c:pt>
                <c:pt idx="2">
                  <c:v>0.025675223195679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0.0391167074908495</c:v>
                </c:pt>
                <c:pt idx="2">
                  <c:v>0.0391167074908495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0.00281640293934116</c:v>
                </c:pt>
                <c:pt idx="2">
                  <c:v>0.00282663007658852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0.332335546842257</c:v>
                </c:pt>
                <c:pt idx="2">
                  <c:v>0.332335546842257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0.0418716413184193</c:v>
                </c:pt>
                <c:pt idx="2">
                  <c:v>0.0418716413184193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768808"/>
        <c:axId val="-2022774104"/>
      </c:barChart>
      <c:catAx>
        <c:axId val="-202276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774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774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768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0.0381397019213503</c:v>
                </c:pt>
                <c:pt idx="2">
                  <c:v>0.0381397019213503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0.0302962829951517</c:v>
                </c:pt>
                <c:pt idx="2">
                  <c:v>0.0302962829951517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0.0374717184413719</c:v>
                </c:pt>
                <c:pt idx="2">
                  <c:v>0.0374717184413719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0.191344945232537</c:v>
                </c:pt>
                <c:pt idx="2">
                  <c:v>0.191344945232537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0.856871969833004</c:v>
                </c:pt>
                <c:pt idx="2">
                  <c:v>0.856871969833004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907256"/>
        <c:axId val="-2022923752"/>
      </c:barChart>
      <c:catAx>
        <c:axId val="-202290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923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923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907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1704.365869146871</c:v>
                </c:pt>
                <c:pt idx="5">
                  <c:v>5224.397705294785</c:v>
                </c:pt>
                <c:pt idx="6">
                  <c:v>3943.407359429385</c:v>
                </c:pt>
                <c:pt idx="7">
                  <c:v>2911.783314653618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21</c:v>
                </c:pt>
                <c:pt idx="6">
                  <c:v>35901.22609241137</c:v>
                </c:pt>
                <c:pt idx="7">
                  <c:v>14520.54497539328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98.32763168741242</c:v>
                </c:pt>
                <c:pt idx="5">
                  <c:v>470.6092753325293</c:v>
                </c:pt>
                <c:pt idx="6">
                  <c:v>1366.500421384426</c:v>
                </c:pt>
                <c:pt idx="7">
                  <c:v>1676.566750463808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1213.714285714286</c:v>
                </c:pt>
                <c:pt idx="5">
                  <c:v>6844</c:v>
                </c:pt>
                <c:pt idx="6">
                  <c:v>27153.21363161157</c:v>
                </c:pt>
                <c:pt idx="7">
                  <c:v>30907.43018792992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8245.714285714286</c:v>
                </c:pt>
                <c:pt idx="5">
                  <c:v>5505.600000000001</c:v>
                </c:pt>
                <c:pt idx="6">
                  <c:v>20714.05714285714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71366.4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1368888"/>
        <c:axId val="-20613705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368888"/>
        <c:axId val="-2061370504"/>
      </c:lineChart>
      <c:catAx>
        <c:axId val="-206136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37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37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368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7047576"/>
        <c:axId val="-202791044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047576"/>
        <c:axId val="-2027910440"/>
      </c:lineChart>
      <c:catAx>
        <c:axId val="-202704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910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910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047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7013432"/>
        <c:axId val="-202701968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013432"/>
        <c:axId val="-2027019688"/>
      </c:lineChart>
      <c:catAx>
        <c:axId val="-20270134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019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019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013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0.344854738053252</c:v>
                </c:pt>
                <c:pt idx="2">
                  <c:v>0.344854738053252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0.0750101573393711</c:v>
                </c:pt>
                <c:pt idx="2">
                  <c:v>0.132293997029473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-0.344854738053252</c:v>
                </c:pt>
                <c:pt idx="2">
                  <c:v>-0.110904288777121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095208"/>
        <c:axId val="-2027109320"/>
      </c:barChart>
      <c:catAx>
        <c:axId val="-202709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109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109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095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0.0691443906928694</c:v>
                </c:pt>
                <c:pt idx="2">
                  <c:v>0.0621220881408424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0.294072435076278</c:v>
                </c:pt>
                <c:pt idx="2">
                  <c:v>0.294072435076278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0.333593571678118</c:v>
                </c:pt>
                <c:pt idx="2">
                  <c:v>0.333593571678118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0.0156599043413382</c:v>
                </c:pt>
                <c:pt idx="2">
                  <c:v>0.0232392670834208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0.0691443906928694</c:v>
                </c:pt>
                <c:pt idx="2">
                  <c:v>0.0621220881408424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153368"/>
        <c:axId val="-2027164760"/>
      </c:barChart>
      <c:catAx>
        <c:axId val="-202715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164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164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153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0.0265536258804974</c:v>
                </c:pt>
                <c:pt idx="2">
                  <c:v>0.0237055770334352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0.563662912049204</c:v>
                </c:pt>
                <c:pt idx="2">
                  <c:v>0.566574177050177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0.0265536258804974</c:v>
                </c:pt>
                <c:pt idx="2">
                  <c:v>0.0237055770334352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217352"/>
        <c:axId val="-2027222744"/>
      </c:barChart>
      <c:catAx>
        <c:axId val="-202721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222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222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217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0.657080332270758</c:v>
                </c:pt>
                <c:pt idx="2">
                  <c:v>0.657080332270758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0.497044286152657</c:v>
                </c:pt>
                <c:pt idx="2">
                  <c:v>0.497044286152657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0.238850530434812</c:v>
                </c:pt>
                <c:pt idx="2">
                  <c:v>0.343915608718454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-0.577661100137667</c:v>
                </c:pt>
                <c:pt idx="2">
                  <c:v>-0.424532422703463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279640"/>
        <c:axId val="-2027285560"/>
      </c:barChart>
      <c:catAx>
        <c:axId val="-202727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285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285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7279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0.0402286070094289</c:v>
                </c:pt>
                <c:pt idx="2" formatCode="0.0%">
                  <c:v>0.0402286070094289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0.0301291691869774</c:v>
                </c:pt>
                <c:pt idx="2" formatCode="0.0%">
                  <c:v>0.0301291691869774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0.0736786673189824</c:v>
                </c:pt>
                <c:pt idx="2" formatCode="0.0%">
                  <c:v>0.0632711511977807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0.0315630048034158</c:v>
                </c:pt>
                <c:pt idx="2" formatCode="0.0%">
                  <c:v>0.0315630048034158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0.112621270236613</c:v>
                </c:pt>
                <c:pt idx="2" formatCode="0.0%">
                  <c:v>0.108202277873376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0.0153642477929449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0.278300808295227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0.34937570217952</c:v>
                </c:pt>
                <c:pt idx="2" formatCode="0.0%">
                  <c:v>0.31389311479323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226056"/>
        <c:axId val="-2061237224"/>
      </c:barChart>
      <c:catAx>
        <c:axId val="-206122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237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237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226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2999416"/>
        <c:axId val="-202300424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999416"/>
        <c:axId val="-202300424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999416"/>
        <c:axId val="-2023004248"/>
      </c:scatterChart>
      <c:catAx>
        <c:axId val="-20229994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0042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3004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9994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3107608"/>
        <c:axId val="-202311448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107608"/>
        <c:axId val="-2023114488"/>
      </c:lineChart>
      <c:catAx>
        <c:axId val="-20231076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1144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31144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1076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540952"/>
        <c:axId val="-20275376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549640"/>
        <c:axId val="-2027546712"/>
      </c:scatterChart>
      <c:valAx>
        <c:axId val="-20275409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7537672"/>
        <c:crosses val="autoZero"/>
        <c:crossBetween val="midCat"/>
      </c:valAx>
      <c:valAx>
        <c:axId val="-20275376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7540952"/>
        <c:crosses val="autoZero"/>
        <c:crossBetween val="midCat"/>
      </c:valAx>
      <c:valAx>
        <c:axId val="-20275496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27546712"/>
        <c:crosses val="autoZero"/>
        <c:crossBetween val="midCat"/>
      </c:valAx>
      <c:valAx>
        <c:axId val="-20275467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754964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638168"/>
        <c:axId val="-202765560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638168"/>
        <c:axId val="-2027655608"/>
      </c:lineChart>
      <c:catAx>
        <c:axId val="-202763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76556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76556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763816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0.0422400373599004</c:v>
                </c:pt>
                <c:pt idx="2" formatCode="0.0%">
                  <c:v>0.0422400373599004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0.0440822984122042</c:v>
                </c:pt>
                <c:pt idx="2" formatCode="0.0%">
                  <c:v>0.0440822984122042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0.0644688339041096</c:v>
                </c:pt>
                <c:pt idx="2" formatCode="0.0%">
                  <c:v>0.06095727167359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0.0552352584059776</c:v>
                </c:pt>
                <c:pt idx="2" formatCode="0.0%">
                  <c:v>0.0552352584059776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0.033942799501868</c:v>
                </c:pt>
                <c:pt idx="2" formatCode="0.0%">
                  <c:v>0.0337280960533358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0.0332614997344801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0.468393825504333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0.293591285122663</c:v>
                </c:pt>
                <c:pt idx="2" formatCode="0.0%">
                  <c:v>0.262101712856178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985352"/>
        <c:axId val="1816019368"/>
      </c:barChart>
      <c:catAx>
        <c:axId val="181598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6019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6019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5985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0.00506265010674257</c:v>
                </c:pt>
                <c:pt idx="2" formatCode="0.0%">
                  <c:v>0.00506265010674257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0.050101493776908</c:v>
                </c:pt>
                <c:pt idx="2" formatCode="0.0%">
                  <c:v>0.050101493776908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0.0250269489414695</c:v>
                </c:pt>
                <c:pt idx="2" formatCode="0.0%">
                  <c:v>0.0250269489414695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0.391352140530694</c:v>
                </c:pt>
                <c:pt idx="2" formatCode="0.0%">
                  <c:v>0.563499312263898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719432"/>
        <c:axId val="-2035722712"/>
      </c:barChart>
      <c:catAx>
        <c:axId val="-203571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722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722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719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0.00797867372353673</c:v>
                </c:pt>
                <c:pt idx="1">
                  <c:v>0.00797867372353673</c:v>
                </c:pt>
                <c:pt idx="2">
                  <c:v>0.0154880136986301</c:v>
                </c:pt>
                <c:pt idx="3">
                  <c:v>0.0154880136986301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0.506558506861366</c:v>
                </c:pt>
                <c:pt idx="1">
                  <c:v>0.334115087248223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0.0665654071218188</c:v>
                </c:pt>
                <c:pt idx="1">
                  <c:v>0.0439051096901364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0.0752130193036622</c:v>
                </c:pt>
                <c:pt idx="1">
                  <c:v>0.0496088885419169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0.220707847806571</c:v>
                </c:pt>
                <c:pt idx="2">
                  <c:v>0.640827593311754</c:v>
                </c:pt>
                <c:pt idx="3">
                  <c:v>0.590838869775017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2895976"/>
        <c:axId val="-2072909416"/>
      </c:barChart>
      <c:catAx>
        <c:axId val="-20728959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9094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2909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2895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0.200405975107632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0.0505008076854652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0.100107795765878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0.305301028451409</c:v>
                </c:pt>
                <c:pt idx="1">
                  <c:v>0.656315607010384</c:v>
                </c:pt>
                <c:pt idx="2">
                  <c:v>0.656315607010384</c:v>
                </c:pt>
                <c:pt idx="3">
                  <c:v>0.636065006583414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780440"/>
        <c:axId val="-2035788584"/>
      </c:barChart>
      <c:catAx>
        <c:axId val="-20357804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7885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5788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780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0.0273554527664117</c:v>
                </c:pt>
                <c:pt idx="1">
                  <c:v>0.0273554527664117</c:v>
                </c:pt>
                <c:pt idx="2">
                  <c:v>0.0531017612524462</c:v>
                </c:pt>
                <c:pt idx="3">
                  <c:v>0.0531017612524462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0.174488555890623</c:v>
                </c:pt>
                <c:pt idx="1">
                  <c:v>0.0785960489004997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0.0870441429222801</c:v>
                </c:pt>
                <c:pt idx="1">
                  <c:v>0.0392078762913829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0.298399173284894</c:v>
                </c:pt>
                <c:pt idx="1">
                  <c:v>0.13440993820861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0.278300808295227</c:v>
                </c:pt>
                <c:pt idx="1">
                  <c:v>0.278300808295227</c:v>
                </c:pt>
                <c:pt idx="2">
                  <c:v>0.278300808295227</c:v>
                </c:pt>
                <c:pt idx="3">
                  <c:v>0.278300808295227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0.307718008697305</c:v>
                </c:pt>
                <c:pt idx="2">
                  <c:v>0.534185563611763</c:v>
                </c:pt>
                <c:pt idx="3">
                  <c:v>0.413668886863853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470632"/>
        <c:axId val="1815465272"/>
      </c:barChart>
      <c:catAx>
        <c:axId val="18154706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4652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5465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470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0.0287232254047323</c:v>
                </c:pt>
                <c:pt idx="1">
                  <c:v>0.0287232254047323</c:v>
                </c:pt>
                <c:pt idx="2">
                  <c:v>0.0557568493150685</c:v>
                </c:pt>
                <c:pt idx="3">
                  <c:v>0.0557568493150685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0.190946656311247</c:v>
                </c:pt>
                <c:pt idx="1">
                  <c:v>0.052882430383113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0.173022637226703</c:v>
                </c:pt>
                <c:pt idx="1">
                  <c:v>0.0479183963972077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0.105652155818504</c:v>
                </c:pt>
                <c:pt idx="1">
                  <c:v>0.0292602283948388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0.468393825504333</c:v>
                </c:pt>
                <c:pt idx="1">
                  <c:v>0.468393825504333</c:v>
                </c:pt>
                <c:pt idx="2">
                  <c:v>0.468393825504333</c:v>
                </c:pt>
                <c:pt idx="3">
                  <c:v>0.468393825504333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0.339560394181295</c:v>
                </c:pt>
                <c:pt idx="2">
                  <c:v>0.442587825446118</c:v>
                </c:pt>
                <c:pt idx="3">
                  <c:v>0.266258631797301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355672"/>
        <c:axId val="1815350104"/>
      </c:barChart>
      <c:catAx>
        <c:axId val="18153556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3501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5350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355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0.119536262334446</c:v>
                </c:pt>
                <c:pt idx="2">
                  <c:v>0.119536262334446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0.0531272277041984</c:v>
                </c:pt>
                <c:pt idx="2">
                  <c:v>0.00885453795069973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0.0393951900348929</c:v>
                </c:pt>
                <c:pt idx="2">
                  <c:v>0.0393951900348929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0.00420215360372191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0.057471954376618</c:v>
                </c:pt>
                <c:pt idx="2">
                  <c:v>0.057471954376618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0.0458109781262897</c:v>
                </c:pt>
                <c:pt idx="2">
                  <c:v>0.0458109781262897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0.48744231418602</c:v>
                </c:pt>
                <c:pt idx="2">
                  <c:v>0.48744231418602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5207464"/>
        <c:axId val="1815210456"/>
      </c:barChart>
      <c:catAx>
        <c:axId val="181520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210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521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207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5.0626501067425732E-3</v>
      </c>
      <c r="J7" s="24">
        <f t="shared" si="3"/>
        <v>5.0626501067425732E-3</v>
      </c>
      <c r="K7" s="22">
        <f t="shared" si="4"/>
        <v>1.0125300213485146E-2</v>
      </c>
      <c r="L7" s="22">
        <f t="shared" si="5"/>
        <v>5.0626501067425732E-3</v>
      </c>
      <c r="M7" s="177">
        <f t="shared" si="6"/>
        <v>5.0626501067425732E-3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1471.2865959745848</v>
      </c>
      <c r="S7" s="221">
        <f>IF($B$81=0,0,(SUMIF($N$6:$N$28,$U7,L$6:L$28)+SUMIF($N$91:$N$118,$U7,L$91:L$118))*$I$83*Poor!$B$81/$B$81)</f>
        <v>1704.3658691468711</v>
      </c>
      <c r="T7" s="221">
        <f>IF($B$81=0,0,(SUMIF($N$6:$N$28,$U7,M$6:M$28)+SUMIF($N$91:$N$118,$U7,M$91:M$118))*$I$83*Poor!$B$81/$B$81)</f>
        <v>1704.3658691468711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2.0250600426970293E-2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2.0250600426970293E-2</v>
      </c>
      <c r="AH7" s="123">
        <f t="shared" ref="AH7:AH30" si="12">SUM(Z7,AB7,AD7,AF7)</f>
        <v>1</v>
      </c>
      <c r="AI7" s="183">
        <f t="shared" ref="AI7:AI30" si="13">SUM(AA7,AC7,AE7,AG7)/4</f>
        <v>5.0626501067425732E-3</v>
      </c>
      <c r="AJ7" s="120">
        <f t="shared" ref="AJ7:AJ31" si="14">(AA7+AC7)/2</f>
        <v>0</v>
      </c>
      <c r="AK7" s="119">
        <f t="shared" ref="AK7:AK31" si="15">(AE7+AG7)/2</f>
        <v>1.0125300213485146E-2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5.0101493776908028E-2</v>
      </c>
      <c r="J8" s="24">
        <f t="shared" si="3"/>
        <v>5.0101493776908028E-2</v>
      </c>
      <c r="K8" s="22">
        <f t="shared" si="4"/>
        <v>4.5964673189823876E-2</v>
      </c>
      <c r="L8" s="22">
        <f t="shared" si="5"/>
        <v>5.0101493776908028E-2</v>
      </c>
      <c r="M8" s="223">
        <f t="shared" si="6"/>
        <v>5.0101493776908028E-2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0.20040597510763211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0.20040597510763211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5.0101493776908028E-2</v>
      </c>
      <c r="AJ8" s="120">
        <f t="shared" si="14"/>
        <v>0.10020298755381606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1.2625201921366307E-2</v>
      </c>
      <c r="J9" s="24">
        <f t="shared" si="3"/>
        <v>1.2625201921366307E-2</v>
      </c>
      <c r="K9" s="22">
        <f t="shared" si="4"/>
        <v>1.2625201921366307E-2</v>
      </c>
      <c r="L9" s="22">
        <f t="shared" si="5"/>
        <v>1.2625201921366307E-2</v>
      </c>
      <c r="M9" s="223">
        <f t="shared" si="6"/>
        <v>1.2625201921366307E-2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178.16053949785783</v>
      </c>
      <c r="S9" s="221">
        <f>IF($B$81=0,0,(SUMIF($N$6:$N$28,$U9,L$6:L$28)+SUMIF($N$91:$N$118,$U9,L$91:L$118))*$I$83*Poor!$B$81/$B$81)</f>
        <v>98.327631687412421</v>
      </c>
      <c r="T9" s="221">
        <f>IF($B$81=0,0,(SUMIF($N$6:$N$28,$U9,M$6:M$28)+SUMIF($N$91:$N$118,$U9,M$91:M$118))*$I$83*Poor!$B$81/$B$81)</f>
        <v>98.327631687412421</v>
      </c>
      <c r="U9" s="222">
        <v>3</v>
      </c>
      <c r="V9" s="56"/>
      <c r="W9" s="115"/>
      <c r="X9" s="118">
        <f>Poor!X9</f>
        <v>1</v>
      </c>
      <c r="Y9" s="183">
        <f t="shared" si="9"/>
        <v>5.0500807685465228E-2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5.0500807685465228E-2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1.2625201921366307E-2</v>
      </c>
      <c r="AJ9" s="120">
        <f t="shared" si="14"/>
        <v>2.5250403842732614E-2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1</v>
      </c>
      <c r="H10" s="24">
        <f t="shared" si="1"/>
        <v>1</v>
      </c>
      <c r="I10" s="22">
        <f t="shared" si="2"/>
        <v>2.5026948941469486E-2</v>
      </c>
      <c r="J10" s="24">
        <f t="shared" si="3"/>
        <v>2.5026948941469486E-2</v>
      </c>
      <c r="K10" s="22">
        <f t="shared" si="4"/>
        <v>2.5026948941469486E-2</v>
      </c>
      <c r="L10" s="22">
        <f t="shared" si="5"/>
        <v>2.5026948941469486E-2</v>
      </c>
      <c r="M10" s="223">
        <f t="shared" si="6"/>
        <v>2.5026948941469486E-2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0.10010779576587794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0.10010779576587794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2.5026948941469486E-2</v>
      </c>
      <c r="AJ10" s="120">
        <f t="shared" si="14"/>
        <v>5.0053897882938972E-2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1921.9158048747584</v>
      </c>
      <c r="S11" s="221">
        <f>IF($B$81=0,0,(SUMIF($N$6:$N$28,$U11,L$6:L$28)+SUMIF($N$91:$N$118,$U11,L$91:L$118))*$I$83*Poor!$B$81/$B$81)</f>
        <v>1213.7142857142858</v>
      </c>
      <c r="T11" s="221">
        <f>IF($B$81=0,0,(SUMIF($N$6:$N$28,$U11,M$6:M$28)+SUMIF($N$91:$N$118,$U11,M$91:M$118))*$I$83*Poor!$B$81/$B$81)</f>
        <v>1213.7142857142858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11104.402428165269</v>
      </c>
      <c r="S13" s="221">
        <f>IF($B$81=0,0,(SUMIF($N$6:$N$28,$U13,L$6:L$28)+SUMIF($N$91:$N$118,$U13,L$91:L$118))*$I$83*Poor!$B$81/$B$81)</f>
        <v>8245.7142857142862</v>
      </c>
      <c r="T13" s="221">
        <f>IF($B$81=0,0,(SUMIF($N$6:$N$28,$U13,M$6:M$28)+SUMIF($N$91:$N$118,$U13,M$91:M$118))*$I$83*Poor!$B$81/$B$81)</f>
        <v>8245.7142857142862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34543.233399615659</v>
      </c>
      <c r="S20" s="221">
        <f>IF($B$81=0,0,(SUMIF($N$6:$N$28,$U20,L$6:L$28)+SUMIF($N$91:$N$118,$U20,L$91:L$118))*$I$83*Poor!$B$81/$B$81)</f>
        <v>27268.114285714288</v>
      </c>
      <c r="T20" s="221">
        <f>IF($B$81=0,0,(SUMIF($N$6:$N$28,$U20,M$6:M$28)+SUMIF($N$91:$N$118,$U20,M$91:M$118))*$I$83*Poor!$B$81/$B$81)</f>
        <v>27268.114285714288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51313.710785378913</v>
      </c>
      <c r="S23" s="179">
        <f>SUM(S7:S22)</f>
        <v>40842.398998525372</v>
      </c>
      <c r="T23" s="179">
        <f>SUM(T7:T22)</f>
        <v>40842.398998525372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0.81439779501550036</v>
      </c>
      <c r="J30" s="230">
        <f>IF(I$32&lt;=1,I30,1-SUM(J6:J29))</f>
        <v>0.5634993122638976</v>
      </c>
      <c r="K30" s="22">
        <f t="shared" si="4"/>
        <v>0.68939859227895406</v>
      </c>
      <c r="L30" s="22">
        <f>IF(L124=L119,0,IF(K30="",0,(L119-L124)/(B119-B124)*K30))</f>
        <v>0.39135214053069445</v>
      </c>
      <c r="M30" s="175">
        <f t="shared" si="6"/>
        <v>0.5634993122638976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2.2539972490555904</v>
      </c>
      <c r="Z30" s="122">
        <f>IF($Y30=0,0,AA30/($Y$30))</f>
        <v>0.1354487138701379</v>
      </c>
      <c r="AA30" s="187">
        <f>IF(AA79*4/$I$83+SUM(AA6:AA29)&lt;1,AA79*4/$I$83,1-SUM(AA6:AA29))</f>
        <v>0.30530102845140861</v>
      </c>
      <c r="AB30" s="122">
        <f>IF($Y30=0,0,AC30/($Y$30))</f>
        <v>0.29117853062392857</v>
      </c>
      <c r="AC30" s="187">
        <f>IF(AC79*4/$I$83+SUM(AC6:AC29)&lt;1,AC79*4/$I$83,1-SUM(AC6:AC29))</f>
        <v>0.65631560701038394</v>
      </c>
      <c r="AD30" s="122">
        <f>IF($Y30=0,0,AE30/($Y$30))</f>
        <v>0.29117853062392857</v>
      </c>
      <c r="AE30" s="187">
        <f>IF(AE79*4/$I$83+SUM(AE6:AE29)&lt;1,AE79*4/$I$83,1-SUM(AE6:AE29))</f>
        <v>0.65631560701038394</v>
      </c>
      <c r="AF30" s="122">
        <f>IF($Y30=0,0,AG30/($Y$30))</f>
        <v>0.28219422488200491</v>
      </c>
      <c r="AG30" s="187">
        <f>IF(AG79*4/$I$83+SUM(AG6:AG29)&lt;1,AG79*4/$I$83,1-SUM(AG6:AG29))</f>
        <v>0.63606500658341369</v>
      </c>
      <c r="AH30" s="123">
        <f t="shared" si="12"/>
        <v>1</v>
      </c>
      <c r="AI30" s="183">
        <f t="shared" si="13"/>
        <v>0.5634993122638976</v>
      </c>
      <c r="AJ30" s="120">
        <f t="shared" si="14"/>
        <v>0.48080831773089627</v>
      </c>
      <c r="AK30" s="119">
        <f t="shared" si="15"/>
        <v>0.64619030679689882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0.14919591507566277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3038.5228533498084</v>
      </c>
      <c r="S31" s="233">
        <f t="shared" si="24"/>
        <v>13509.834640203349</v>
      </c>
      <c r="T31" s="233">
        <f>IF(T25&gt;T$23,T25-T$23,0)</f>
        <v>13509.834640203349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1.2508984827516028</v>
      </c>
      <c r="J32" s="17"/>
      <c r="L32" s="22">
        <f>SUM(L6:L30)</f>
        <v>0.85080408492433723</v>
      </c>
      <c r="M32" s="23"/>
      <c r="N32" s="56"/>
      <c r="O32" s="2"/>
      <c r="P32" s="22"/>
      <c r="Q32" s="233" t="s">
        <v>143</v>
      </c>
      <c r="R32" s="233">
        <f t="shared" si="24"/>
        <v>35776.442853349821</v>
      </c>
      <c r="S32" s="233">
        <f t="shared" si="24"/>
        <v>46247.754640203362</v>
      </c>
      <c r="T32" s="233">
        <f t="shared" si="24"/>
        <v>46247.754640203362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1.0797533570304763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11821.105310177933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1062</v>
      </c>
      <c r="J38" s="38">
        <f t="shared" ref="J38:J64" si="32">J92*I$83</f>
        <v>1062</v>
      </c>
      <c r="K38" s="40">
        <f t="shared" ref="K38:K64" si="33">(B38/B$65)</f>
        <v>4.040222661159993E-2</v>
      </c>
      <c r="L38" s="22">
        <f t="shared" ref="L38:L64" si="34">(K38*H38)</f>
        <v>3.8139701921350334E-2</v>
      </c>
      <c r="M38" s="24">
        <f t="shared" ref="M38:M64" si="35">J38/B$65</f>
        <v>3.8139701921350334E-2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1062</v>
      </c>
      <c r="AH38" s="123">
        <f t="shared" ref="AH38:AI58" si="37">SUM(Z38,AB38,AD38,AF38)</f>
        <v>1</v>
      </c>
      <c r="AI38" s="112">
        <f t="shared" si="37"/>
        <v>1062</v>
      </c>
      <c r="AJ38" s="148">
        <f t="shared" ref="AJ38:AJ64" si="38">(AA38+AC38)</f>
        <v>0</v>
      </c>
      <c r="AK38" s="147">
        <f t="shared" ref="AK38:AK64" si="39">(AE38+AG38)</f>
        <v>1062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843.6</v>
      </c>
      <c r="J44" s="38">
        <f t="shared" si="32"/>
        <v>843.60000000000014</v>
      </c>
      <c r="K44" s="40">
        <f t="shared" si="33"/>
        <v>2.7293948644280839E-2</v>
      </c>
      <c r="L44" s="22">
        <f t="shared" si="34"/>
        <v>3.0296282995151733E-2</v>
      </c>
      <c r="M44" s="24">
        <f t="shared" si="35"/>
        <v>3.0296282995151736E-2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210.90000000000003</v>
      </c>
      <c r="AB44" s="156">
        <f>Poor!AB44</f>
        <v>0.25</v>
      </c>
      <c r="AC44" s="147">
        <f t="shared" si="41"/>
        <v>210.90000000000003</v>
      </c>
      <c r="AD44" s="156">
        <f>Poor!AD44</f>
        <v>0.25</v>
      </c>
      <c r="AE44" s="147">
        <f t="shared" si="42"/>
        <v>210.90000000000003</v>
      </c>
      <c r="AF44" s="122">
        <f t="shared" si="29"/>
        <v>0.25</v>
      </c>
      <c r="AG44" s="147">
        <f t="shared" si="36"/>
        <v>210.90000000000003</v>
      </c>
      <c r="AH44" s="123">
        <f t="shared" si="37"/>
        <v>1</v>
      </c>
      <c r="AI44" s="112">
        <f t="shared" si="37"/>
        <v>843.60000000000014</v>
      </c>
      <c r="AJ44" s="148">
        <f t="shared" si="38"/>
        <v>421.80000000000007</v>
      </c>
      <c r="AK44" s="147">
        <f t="shared" si="39"/>
        <v>421.80000000000007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1043.4000000000001</v>
      </c>
      <c r="J45" s="38">
        <f t="shared" si="32"/>
        <v>1043.4000000000001</v>
      </c>
      <c r="K45" s="40">
        <f t="shared" si="33"/>
        <v>3.3758304902136826E-2</v>
      </c>
      <c r="L45" s="22">
        <f t="shared" si="34"/>
        <v>3.7471718441371878E-2</v>
      </c>
      <c r="M45" s="24">
        <f t="shared" si="35"/>
        <v>3.7471718441371885E-2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260.85000000000002</v>
      </c>
      <c r="AB45" s="156">
        <f>Poor!AB45</f>
        <v>0.25</v>
      </c>
      <c r="AC45" s="147">
        <f t="shared" si="41"/>
        <v>260.85000000000002</v>
      </c>
      <c r="AD45" s="156">
        <f>Poor!AD45</f>
        <v>0.25</v>
      </c>
      <c r="AE45" s="147">
        <f t="shared" si="42"/>
        <v>260.85000000000002</v>
      </c>
      <c r="AF45" s="122">
        <f t="shared" si="29"/>
        <v>0.25</v>
      </c>
      <c r="AG45" s="147">
        <f t="shared" si="36"/>
        <v>260.85000000000002</v>
      </c>
      <c r="AH45" s="123">
        <f t="shared" si="37"/>
        <v>1</v>
      </c>
      <c r="AI45" s="112">
        <f t="shared" si="37"/>
        <v>1043.4000000000001</v>
      </c>
      <c r="AJ45" s="148">
        <f t="shared" si="38"/>
        <v>521.70000000000005</v>
      </c>
      <c r="AK45" s="147">
        <f t="shared" si="39"/>
        <v>521.70000000000005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1</v>
      </c>
      <c r="F46" s="75">
        <f>Poor!F46</f>
        <v>1.1100000000000001</v>
      </c>
      <c r="G46" s="75">
        <f>Poor!G46</f>
        <v>1.65</v>
      </c>
      <c r="H46" s="24">
        <f t="shared" si="30"/>
        <v>1.1100000000000001</v>
      </c>
      <c r="I46" s="39">
        <f t="shared" si="31"/>
        <v>5328.0000000000009</v>
      </c>
      <c r="J46" s="38">
        <f t="shared" si="32"/>
        <v>5328.0000000000009</v>
      </c>
      <c r="K46" s="40">
        <f t="shared" si="33"/>
        <v>0.17238283354282635</v>
      </c>
      <c r="L46" s="22">
        <f t="shared" si="34"/>
        <v>0.19134494523253726</v>
      </c>
      <c r="M46" s="24">
        <f t="shared" si="35"/>
        <v>0.19134494523253728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1332.0000000000002</v>
      </c>
      <c r="AB46" s="156">
        <f>Poor!AB46</f>
        <v>0.25</v>
      </c>
      <c r="AC46" s="147">
        <f t="shared" si="41"/>
        <v>1332.0000000000002</v>
      </c>
      <c r="AD46" s="156">
        <f>Poor!AD46</f>
        <v>0.25</v>
      </c>
      <c r="AE46" s="147">
        <f t="shared" si="42"/>
        <v>1332.0000000000002</v>
      </c>
      <c r="AF46" s="122">
        <f t="shared" si="29"/>
        <v>0.25</v>
      </c>
      <c r="AG46" s="147">
        <f t="shared" si="36"/>
        <v>1332.0000000000002</v>
      </c>
      <c r="AH46" s="123">
        <f t="shared" si="37"/>
        <v>1</v>
      </c>
      <c r="AI46" s="112">
        <f t="shared" si="37"/>
        <v>5328.0000000000009</v>
      </c>
      <c r="AJ46" s="148">
        <f t="shared" si="38"/>
        <v>2664.0000000000005</v>
      </c>
      <c r="AK46" s="147">
        <f t="shared" si="39"/>
        <v>2664.0000000000005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23859.599999999999</v>
      </c>
      <c r="J49" s="38">
        <f t="shared" si="32"/>
        <v>23859.600000000002</v>
      </c>
      <c r="K49" s="40">
        <f t="shared" si="33"/>
        <v>0.72616268629915603</v>
      </c>
      <c r="L49" s="22">
        <f t="shared" si="34"/>
        <v>0.85687196983300407</v>
      </c>
      <c r="M49" s="24">
        <f t="shared" si="35"/>
        <v>0.85687196983300418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5964.9000000000005</v>
      </c>
      <c r="AB49" s="156">
        <f>Poor!AB49</f>
        <v>0.25</v>
      </c>
      <c r="AC49" s="147">
        <f t="shared" si="41"/>
        <v>5964.9000000000005</v>
      </c>
      <c r="AD49" s="156">
        <f>Poor!AD49</f>
        <v>0.25</v>
      </c>
      <c r="AE49" s="147">
        <f t="shared" si="42"/>
        <v>5964.9000000000005</v>
      </c>
      <c r="AF49" s="122">
        <f t="shared" si="29"/>
        <v>0.25</v>
      </c>
      <c r="AG49" s="147">
        <f t="shared" si="36"/>
        <v>5964.9000000000005</v>
      </c>
      <c r="AH49" s="123">
        <f t="shared" si="37"/>
        <v>1</v>
      </c>
      <c r="AI49" s="112">
        <f t="shared" si="37"/>
        <v>23859.600000000002</v>
      </c>
      <c r="AJ49" s="148">
        <f t="shared" si="38"/>
        <v>11929.800000000001</v>
      </c>
      <c r="AK49" s="147">
        <f t="shared" si="39"/>
        <v>11929.800000000001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0</v>
      </c>
      <c r="F50" s="75">
        <f>Poor!F50</f>
        <v>1.18</v>
      </c>
      <c r="G50" s="75">
        <f>Poor!G50</f>
        <v>1.65</v>
      </c>
      <c r="H50" s="24">
        <f t="shared" si="30"/>
        <v>0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32136.6</v>
      </c>
      <c r="J65" s="39">
        <f>SUM(J37:J64)</f>
        <v>32136.600000000002</v>
      </c>
      <c r="K65" s="40">
        <f>SUM(K37:K64)</f>
        <v>1</v>
      </c>
      <c r="L65" s="22">
        <f>SUM(L37:L64)</f>
        <v>1.1541246184234153</v>
      </c>
      <c r="M65" s="24">
        <f>SUM(M37:M64)</f>
        <v>1.1541246184234155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7768.6500000000005</v>
      </c>
      <c r="AB65" s="137"/>
      <c r="AC65" s="153">
        <f>SUM(AC37:AC64)</f>
        <v>7768.6500000000005</v>
      </c>
      <c r="AD65" s="137"/>
      <c r="AE65" s="153">
        <f>SUM(AE37:AE64)</f>
        <v>7768.6500000000005</v>
      </c>
      <c r="AF65" s="137"/>
      <c r="AG65" s="153">
        <f>SUM(AG37:AG64)</f>
        <v>8830.6500000000015</v>
      </c>
      <c r="AH65" s="137"/>
      <c r="AI65" s="153">
        <f>SUM(AI37:AI64)</f>
        <v>32136.600000000002</v>
      </c>
      <c r="AJ65" s="153">
        <f>SUM(AJ37:AJ64)</f>
        <v>15537.300000000001</v>
      </c>
      <c r="AK65" s="153">
        <f>SUM(AK37:AK64)</f>
        <v>16599.300000000003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0.46934309447911304</v>
      </c>
      <c r="L70" s="22">
        <f t="shared" ref="L70:L74" si="45">(L124*G$37*F$9/F$7)/B$130</f>
        <v>0.65708033227075802</v>
      </c>
      <c r="M70" s="24">
        <f>J70/B$76</f>
        <v>0.65708033227075813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13840.198147920741</v>
      </c>
      <c r="J71" s="51">
        <f t="shared" si="44"/>
        <v>13840.198147920741</v>
      </c>
      <c r="K71" s="40">
        <f t="shared" ref="K71:K72" si="47">B71/B$76</f>
        <v>0.48954330520141259</v>
      </c>
      <c r="L71" s="22">
        <f t="shared" si="45"/>
        <v>0.49704428615265711</v>
      </c>
      <c r="M71" s="24">
        <f t="shared" ref="M71:M72" si="48">J71/B$76</f>
        <v>0.49704428615265722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13840.198147920741</v>
      </c>
      <c r="J74" s="51">
        <f t="shared" si="44"/>
        <v>9576.3301247653417</v>
      </c>
      <c r="K74" s="40">
        <f>B74/B$76</f>
        <v>0.2550027973234395</v>
      </c>
      <c r="L74" s="22">
        <f t="shared" si="45"/>
        <v>0.2388505304348118</v>
      </c>
      <c r="M74" s="24">
        <f>J74/B$76</f>
        <v>0.34391560871845367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1297.1015989953228</v>
      </c>
      <c r="AB74" s="156"/>
      <c r="AC74" s="147">
        <f>AC30*$I$83/4</f>
        <v>2788.4217344988347</v>
      </c>
      <c r="AD74" s="156"/>
      <c r="AE74" s="147">
        <f>AE30*$I$83/4</f>
        <v>2788.4217344988347</v>
      </c>
      <c r="AF74" s="156"/>
      <c r="AG74" s="147">
        <f>AG30*$I$83/4</f>
        <v>2702.3850567723493</v>
      </c>
      <c r="AH74" s="155"/>
      <c r="AI74" s="147">
        <f>SUM(AA74,AC74,AE74,AG74)</f>
        <v>9576.3301247653417</v>
      </c>
      <c r="AJ74" s="148">
        <f>(AA74+AC74)</f>
        <v>4085.5233334941577</v>
      </c>
      <c r="AK74" s="147">
        <f>(AE74+AG74)</f>
        <v>5490.806791271184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3451.6124181926998</v>
      </c>
      <c r="AB75" s="158"/>
      <c r="AC75" s="149">
        <f>AA75+AC65-SUM(AC70,AC74)</f>
        <v>3857.7402206740508</v>
      </c>
      <c r="AD75" s="158"/>
      <c r="AE75" s="149">
        <f>AC75+AE65-SUM(AE70,AE74)</f>
        <v>4263.8680231554017</v>
      </c>
      <c r="AF75" s="158"/>
      <c r="AG75" s="149">
        <f>IF(SUM(AG6:AG29)+((AG65-AG70-$J$75)*4/I$83)&lt;1,0,AG65-AG70-$J$75-(1-SUM(AG6:AG29))*I$83/4)</f>
        <v>1554.1644802078372</v>
      </c>
      <c r="AH75" s="134"/>
      <c r="AI75" s="149">
        <f>AI76-SUM(AI70,AI74)</f>
        <v>4263.868023155399</v>
      </c>
      <c r="AJ75" s="151">
        <f>AJ76-SUM(AJ70,AJ74)</f>
        <v>2303.5757404662127</v>
      </c>
      <c r="AK75" s="149">
        <f>AJ75+AK76-SUM(AK70,AK74)</f>
        <v>4263.8680231554026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32136.600000000002</v>
      </c>
      <c r="J76" s="51">
        <f t="shared" si="44"/>
        <v>32136.600000000002</v>
      </c>
      <c r="K76" s="40">
        <f>SUM(K70:K75)</f>
        <v>2.2319893945259621</v>
      </c>
      <c r="L76" s="22">
        <f>SUM(L70:L75)</f>
        <v>1.3929751488582269</v>
      </c>
      <c r="M76" s="24">
        <f>SUM(M70:M75)</f>
        <v>1.4980402271418689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7768.6500000000005</v>
      </c>
      <c r="AB76" s="137"/>
      <c r="AC76" s="153">
        <f>AC65</f>
        <v>7768.6500000000005</v>
      </c>
      <c r="AD76" s="137"/>
      <c r="AE76" s="153">
        <f>AE65</f>
        <v>7768.6500000000005</v>
      </c>
      <c r="AF76" s="137"/>
      <c r="AG76" s="153">
        <f>AG65</f>
        <v>8830.6500000000015</v>
      </c>
      <c r="AH76" s="137"/>
      <c r="AI76" s="153">
        <f>SUM(AA76,AC76,AE76,AG76)</f>
        <v>32136.600000000002</v>
      </c>
      <c r="AJ76" s="154">
        <f>SUM(AA76,AC76)</f>
        <v>15537.300000000001</v>
      </c>
      <c r="AK76" s="154">
        <f>SUM(AE76,AG76)</f>
        <v>16599.300000000003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11821.105310177933</v>
      </c>
      <c r="K77" s="40"/>
      <c r="L77" s="22">
        <f>-(L131*G$37*F$9/F$7)/B$130</f>
        <v>-0.57766110013766658</v>
      </c>
      <c r="M77" s="24">
        <f>-J77/B$76</f>
        <v>-0.4245324227034632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1554.1644802078372</v>
      </c>
      <c r="AB78" s="112"/>
      <c r="AC78" s="112">
        <f>IF(AA75&lt;0,0,AA75)</f>
        <v>3451.6124181926998</v>
      </c>
      <c r="AD78" s="112"/>
      <c r="AE78" s="112">
        <f>AC75</f>
        <v>3857.7402206740508</v>
      </c>
      <c r="AF78" s="112"/>
      <c r="AG78" s="112">
        <f>AE75</f>
        <v>4263.8680231554017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4748.7140171880228</v>
      </c>
      <c r="AB79" s="112"/>
      <c r="AC79" s="112">
        <f>AA79-AA74+AC65-AC70</f>
        <v>6646.1619551728854</v>
      </c>
      <c r="AD79" s="112"/>
      <c r="AE79" s="112">
        <f>AC79-AC74+AE65-AE70</f>
        <v>7052.2897576542364</v>
      </c>
      <c r="AF79" s="112"/>
      <c r="AG79" s="112">
        <f>AE79-AE74+AG65-AG70</f>
        <v>8520.4175601355892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0.1092271866949126</v>
      </c>
      <c r="C92" s="75">
        <f t="shared" si="51"/>
        <v>0</v>
      </c>
      <c r="D92" s="24">
        <f t="shared" si="52"/>
        <v>0.1092271866949126</v>
      </c>
      <c r="H92" s="24">
        <f t="shared" si="53"/>
        <v>0.57212121212121214</v>
      </c>
      <c r="I92" s="22">
        <f t="shared" si="54"/>
        <v>6.2491190448483336E-2</v>
      </c>
      <c r="J92" s="24">
        <f t="shared" si="55"/>
        <v>6.2491190448483336E-2</v>
      </c>
      <c r="K92" s="22">
        <f t="shared" si="56"/>
        <v>0.1092271866949126</v>
      </c>
      <c r="L92" s="22">
        <f t="shared" si="57"/>
        <v>6.2491190448483336E-2</v>
      </c>
      <c r="M92" s="226">
        <f t="shared" si="49"/>
        <v>6.2491190448483336E-2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7.3789032789452078E-2</v>
      </c>
      <c r="C98" s="75">
        <f t="shared" si="51"/>
        <v>0</v>
      </c>
      <c r="D98" s="24">
        <f t="shared" si="52"/>
        <v>7.3789032789452078E-2</v>
      </c>
      <c r="H98" s="24">
        <f t="shared" si="53"/>
        <v>0.67272727272727284</v>
      </c>
      <c r="I98" s="22">
        <f t="shared" si="54"/>
        <v>4.9639894785631404E-2</v>
      </c>
      <c r="J98" s="24">
        <f t="shared" si="55"/>
        <v>4.9639894785631404E-2</v>
      </c>
      <c r="K98" s="22">
        <f t="shared" si="56"/>
        <v>7.3789032789452078E-2</v>
      </c>
      <c r="L98" s="22">
        <f t="shared" si="57"/>
        <v>4.9639894785631404E-2</v>
      </c>
      <c r="M98" s="227">
        <f t="shared" si="49"/>
        <v>4.9639894785631404E-2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Construction cash income -- see Data2</v>
      </c>
      <c r="B99" s="75">
        <f t="shared" si="51"/>
        <v>9.1265382660638092E-2</v>
      </c>
      <c r="C99" s="75">
        <f t="shared" si="51"/>
        <v>0</v>
      </c>
      <c r="D99" s="24">
        <f t="shared" si="52"/>
        <v>9.1265382660638092E-2</v>
      </c>
      <c r="H99" s="24">
        <f t="shared" si="53"/>
        <v>0.67272727272727284</v>
      </c>
      <c r="I99" s="22">
        <f t="shared" si="54"/>
        <v>6.1396711971701996E-2</v>
      </c>
      <c r="J99" s="24">
        <f t="shared" si="55"/>
        <v>6.1396711971701996E-2</v>
      </c>
      <c r="K99" s="22">
        <f t="shared" si="56"/>
        <v>9.1265382660638092E-2</v>
      </c>
      <c r="L99" s="22">
        <f t="shared" si="57"/>
        <v>6.1396711971701996E-2</v>
      </c>
      <c r="M99" s="227">
        <f t="shared" si="49"/>
        <v>6.1396711971701996E-2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Domestic work cash income -- see Data2</v>
      </c>
      <c r="B100" s="75">
        <f t="shared" si="51"/>
        <v>0.46603599656496048</v>
      </c>
      <c r="C100" s="75">
        <f t="shared" si="51"/>
        <v>0</v>
      </c>
      <c r="D100" s="24">
        <f t="shared" si="52"/>
        <v>0.46603599656496048</v>
      </c>
      <c r="H100" s="24">
        <f t="shared" si="53"/>
        <v>0.67272727272727284</v>
      </c>
      <c r="I100" s="22">
        <f t="shared" si="54"/>
        <v>0.31351512496188255</v>
      </c>
      <c r="J100" s="24">
        <f>IF(I$32&lt;=1+I131,I100,L100+J$33*(I100-L100))</f>
        <v>0.31351512496188255</v>
      </c>
      <c r="K100" s="22">
        <f t="shared" si="56"/>
        <v>0.46603599656496048</v>
      </c>
      <c r="L100" s="22">
        <f t="shared" si="57"/>
        <v>0.31351512496188255</v>
      </c>
      <c r="M100" s="227">
        <f t="shared" si="49"/>
        <v>0.31351512496188255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Labour migration(formal employment): no. people per HH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0.57212121212121214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0.57212121212121214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1.9631766355298961</v>
      </c>
      <c r="C103" s="75">
        <f t="shared" si="51"/>
        <v>0</v>
      </c>
      <c r="D103" s="24">
        <f t="shared" si="52"/>
        <v>1.9631766355298961</v>
      </c>
      <c r="H103" s="24">
        <f t="shared" si="53"/>
        <v>0.7151515151515152</v>
      </c>
      <c r="I103" s="22">
        <f t="shared" si="54"/>
        <v>1.4039687454092591</v>
      </c>
      <c r="J103" s="24">
        <f>IF(I$32&lt;=1+I131,I103,L103+J$33*(I103-L103))</f>
        <v>1.4039687454092591</v>
      </c>
      <c r="K103" s="22">
        <f t="shared" si="56"/>
        <v>1.9631766355298961</v>
      </c>
      <c r="L103" s="22">
        <f t="shared" si="57"/>
        <v>1.4039687454092591</v>
      </c>
      <c r="M103" s="227">
        <f t="shared" si="49"/>
        <v>1.4039687454092591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Gifts/social support: type (Child support, Pension and Foster Care)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1.8910116675769584</v>
      </c>
      <c r="J119" s="24">
        <f>SUM(J91:J118)</f>
        <v>1.8910116675769584</v>
      </c>
      <c r="K119" s="22">
        <f>SUM(K91:K118)</f>
        <v>2.7034942342398596</v>
      </c>
      <c r="L119" s="22">
        <f>SUM(L91:L118)</f>
        <v>1.8910116675769584</v>
      </c>
      <c r="M119" s="57">
        <f t="shared" si="49"/>
        <v>1.8910116675769584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66"/>
        <v>1.076613872561458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0.81439779501550036</v>
      </c>
      <c r="J125" s="236">
        <f>IF(SUMPRODUCT($B$124:$B125,$H$124:$H125)&lt;J$119,($B125*$H125),IF(SUMPRODUCT($B$124:$B124,$H$124:$H124)&lt;J$119,J$119-SUMPRODUCT($B$124:$B124,$H$124:$H124),0))</f>
        <v>0.81439779501550036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0.81439779501550036</v>
      </c>
      <c r="M125" s="239">
        <f t="shared" si="66"/>
        <v>0.81439779501550036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0.81439779501550036</v>
      </c>
      <c r="J128" s="227">
        <f>(J30)</f>
        <v>0.5634993122638976</v>
      </c>
      <c r="K128" s="29">
        <f>(B128)</f>
        <v>0.68939859227895406</v>
      </c>
      <c r="L128" s="29">
        <f>IF(L124=L119,0,(L119-L124)/(B119-B124)*K128)</f>
        <v>0.39135214053069445</v>
      </c>
      <c r="M128" s="239">
        <f t="shared" si="66"/>
        <v>0.5634993122638976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1.8910116675769584</v>
      </c>
      <c r="J130" s="227">
        <f>(J119)</f>
        <v>1.8910116675769584</v>
      </c>
      <c r="K130" s="29">
        <f>(B130)</f>
        <v>2.7034942342398596</v>
      </c>
      <c r="L130" s="29">
        <f>(L119)</f>
        <v>1.8910116675769584</v>
      </c>
      <c r="M130" s="239">
        <f t="shared" si="66"/>
        <v>1.8910116675769584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0.69558845880405551</v>
      </c>
      <c r="K131" s="29"/>
      <c r="L131" s="29">
        <f>IF(I131&lt;SUM(L126:L127),0,I131-(SUM(L126:L127)))</f>
        <v>0.94648694155565805</v>
      </c>
      <c r="M131" s="236">
        <f>IF(I131&lt;SUM(M126:M127),0,I131-(SUM(M126:M127)))</f>
        <v>0.94648694155565805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331" priority="3" operator="greaterThan">
      <formula>0</formula>
    </cfRule>
  </conditionalFormatting>
  <conditionalFormatting sqref="R32:T32">
    <cfRule type="cellIs" dxfId="330" priority="2" operator="greaterThan">
      <formula>0</formula>
    </cfRule>
  </conditionalFormatting>
  <conditionalFormatting sqref="R30:T30">
    <cfRule type="cellIs" dxfId="32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E51" sqref="E5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1.1733343711083435E-2</v>
      </c>
      <c r="J6" s="24">
        <f t="shared" ref="J6:J13" si="3">IF(I$32&lt;=1+I$131,I6,B6*H6+J$33*(I6-B6*H6))</f>
        <v>1.1733343711083435E-2</v>
      </c>
      <c r="K6" s="22">
        <f t="shared" ref="K6:K31" si="4">B6</f>
        <v>2.3466687422166871E-2</v>
      </c>
      <c r="L6" s="22">
        <f t="shared" ref="L6:L29" si="5">IF(K6="","",K6*H6)</f>
        <v>1.1733343711083435E-2</v>
      </c>
      <c r="M6" s="223">
        <f t="shared" ref="M6:M31" si="6">J6</f>
        <v>1.1733343711083435E-2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4.6933374844333742E-2</v>
      </c>
      <c r="Z6" s="116">
        <v>0.17</v>
      </c>
      <c r="AA6" s="121">
        <f>$M6*Z6*4</f>
        <v>7.9786737235367361E-3</v>
      </c>
      <c r="AB6" s="116">
        <v>0.17</v>
      </c>
      <c r="AC6" s="121">
        <f t="shared" ref="AC6:AC29" si="7">$M6*AB6*4</f>
        <v>7.9786737235367361E-3</v>
      </c>
      <c r="AD6" s="116">
        <v>0.33</v>
      </c>
      <c r="AE6" s="121">
        <f t="shared" ref="AE6:AE29" si="8">$M6*AD6*4</f>
        <v>1.5488013698630135E-2</v>
      </c>
      <c r="AF6" s="122">
        <f>1-SUM(Z6,AB6,AD6)</f>
        <v>0.32999999999999996</v>
      </c>
      <c r="AG6" s="121">
        <f>$M6*AF6*4</f>
        <v>1.5488013698630133E-2</v>
      </c>
      <c r="AH6" s="123">
        <f>SUM(Z6,AB6,AD6,AF6)</f>
        <v>1</v>
      </c>
      <c r="AI6" s="183">
        <f>SUM(AA6,AC6,AE6,AG6)/4</f>
        <v>1.1733343711083435E-2</v>
      </c>
      <c r="AJ6" s="120">
        <f>(AA6+AC6)/2</f>
        <v>7.9786737235367361E-3</v>
      </c>
      <c r="AK6" s="119">
        <f>(AE6+AG6)/2</f>
        <v>1.5488013698630135E-2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1.2497180884184309E-2</v>
      </c>
      <c r="J7" s="24">
        <f t="shared" si="3"/>
        <v>1.2497180884184309E-2</v>
      </c>
      <c r="K7" s="22">
        <f t="shared" si="4"/>
        <v>2.4994361768368618E-2</v>
      </c>
      <c r="L7" s="22">
        <f t="shared" si="5"/>
        <v>1.2497180884184309E-2</v>
      </c>
      <c r="M7" s="223">
        <f t="shared" si="6"/>
        <v>1.2497180884184309E-2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4042.401206537601</v>
      </c>
      <c r="S7" s="221">
        <f>IF($B$81=0,0,(SUMIF($N$6:$N$28,$U7,L$6:L$28)+SUMIF($N$91:$N$118,$U7,L$91:L$118))*$I$83*Poor!$B$81/$B$81)</f>
        <v>4799.0798391268872</v>
      </c>
      <c r="T7" s="221">
        <f>IF($B$81=0,0,(SUMIF($N$6:$N$28,$U7,M$6:M$28)+SUMIF($N$91:$N$118,$U7,M$91:M$118))*$I$83*Poor!$B$81/$B$81)</f>
        <v>5224.3977052947848</v>
      </c>
      <c r="U7" s="222">
        <v>1</v>
      </c>
      <c r="V7" s="56"/>
      <c r="W7" s="115"/>
      <c r="X7" s="124">
        <v>4</v>
      </c>
      <c r="Y7" s="183">
        <f t="shared" ref="Y7:Y29" si="9">M7*4</f>
        <v>4.9988723536737237E-2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4.9988723536737237E-2</v>
      </c>
      <c r="AH7" s="123">
        <f t="shared" ref="AH7:AH30" si="12">SUM(Z7,AB7,AD7,AF7)</f>
        <v>1</v>
      </c>
      <c r="AI7" s="183">
        <f t="shared" ref="AI7:AI30" si="13">SUM(AA7,AC7,AE7,AG7)/4</f>
        <v>1.2497180884184309E-2</v>
      </c>
      <c r="AJ7" s="120">
        <f t="shared" ref="AJ7:AJ31" si="14">(AA7+AC7)/2</f>
        <v>0</v>
      </c>
      <c r="AK7" s="119">
        <f t="shared" ref="AK7:AK31" si="15">(AE7+AG7)/2</f>
        <v>2.4994361768368618E-2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1.0900000000000001</v>
      </c>
      <c r="F8" s="22" t="s">
        <v>23</v>
      </c>
      <c r="H8" s="24">
        <f t="shared" si="1"/>
        <v>1.0900000000000001</v>
      </c>
      <c r="I8" s="22">
        <f t="shared" si="2"/>
        <v>0.21016839852739727</v>
      </c>
      <c r="J8" s="24">
        <f t="shared" si="3"/>
        <v>0.21016839852739727</v>
      </c>
      <c r="K8" s="22">
        <f t="shared" si="4"/>
        <v>0.19281504452054793</v>
      </c>
      <c r="L8" s="22">
        <f t="shared" si="5"/>
        <v>0.21016839852739727</v>
      </c>
      <c r="M8" s="223">
        <f t="shared" si="6"/>
        <v>0.21016839852739727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2481.4068502938544</v>
      </c>
      <c r="S8" s="221">
        <f>IF($B$81=0,0,(SUMIF($N$6:$N$28,$U8,L$6:L$28)+SUMIF($N$91:$N$118,$U8,L$91:L$118))*$I$83*Poor!$B$81/$B$81)</f>
        <v>2323.9999999999995</v>
      </c>
      <c r="T8" s="221">
        <f>IF($B$81=0,0,(SUMIF($N$6:$N$28,$U8,M$6:M$28)+SUMIF($N$91:$N$118,$U8,M$91:M$118))*$I$83*Poor!$B$81/$B$81)</f>
        <v>2099.9999999999995</v>
      </c>
      <c r="U8" s="222">
        <v>2</v>
      </c>
      <c r="V8" s="184"/>
      <c r="W8" s="115"/>
      <c r="X8" s="124">
        <v>1</v>
      </c>
      <c r="Y8" s="183">
        <f t="shared" si="9"/>
        <v>0.84067359410958908</v>
      </c>
      <c r="Z8" s="125">
        <f>IF($Y8=0,0,AA8/$Y8)</f>
        <v>0.60256264787035985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0.50655850686136616</v>
      </c>
      <c r="AB8" s="125">
        <f>IF($Y8=0,0,AC8/$Y8)</f>
        <v>0.39743735212964015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0.33411508724822292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0.21016839852739727</v>
      </c>
      <c r="AJ8" s="120">
        <f t="shared" si="14"/>
        <v>0.42033679705479454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1</v>
      </c>
      <c r="F9" s="28">
        <v>8800</v>
      </c>
      <c r="H9" s="24">
        <f t="shared" si="1"/>
        <v>1</v>
      </c>
      <c r="I9" s="22">
        <f t="shared" si="2"/>
        <v>2.761762920298879E-2</v>
      </c>
      <c r="J9" s="24">
        <f t="shared" si="3"/>
        <v>2.761762920298879E-2</v>
      </c>
      <c r="K9" s="22">
        <f t="shared" si="4"/>
        <v>2.761762920298879E-2</v>
      </c>
      <c r="L9" s="22">
        <f t="shared" si="5"/>
        <v>2.761762920298879E-2</v>
      </c>
      <c r="M9" s="223">
        <f t="shared" si="6"/>
        <v>2.761762920298879E-2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852.70031370716697</v>
      </c>
      <c r="S9" s="221">
        <f>IF($B$81=0,0,(SUMIF($N$6:$N$28,$U9,L$6:L$28)+SUMIF($N$91:$N$118,$U9,L$91:L$118))*$I$83*Poor!$B$81/$B$81)</f>
        <v>470.60927533252931</v>
      </c>
      <c r="T9" s="221">
        <f>IF($B$81=0,0,(SUMIF($N$6:$N$28,$U9,M$6:M$28)+SUMIF($N$91:$N$118,$U9,M$91:M$118))*$I$83*Poor!$B$81/$B$81)</f>
        <v>470.60927533252931</v>
      </c>
      <c r="U9" s="222">
        <v>3</v>
      </c>
      <c r="V9" s="56"/>
      <c r="W9" s="115"/>
      <c r="X9" s="124">
        <v>1</v>
      </c>
      <c r="Y9" s="183">
        <f t="shared" si="9"/>
        <v>0.11047051681195516</v>
      </c>
      <c r="Z9" s="125">
        <f>IF($Y9=0,0,AA9/$Y9)</f>
        <v>0.60256264787035974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6.6565407121818798E-2</v>
      </c>
      <c r="AB9" s="125">
        <f>IF($Y9=0,0,AC9/$Y9)</f>
        <v>0.39743735212964021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4.3905109690136362E-2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2.761762920298879E-2</v>
      </c>
      <c r="AJ9" s="120">
        <f t="shared" si="14"/>
        <v>5.523525840597758E-2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1</v>
      </c>
      <c r="H10" s="24">
        <f t="shared" si="1"/>
        <v>1</v>
      </c>
      <c r="I10" s="22">
        <f t="shared" si="2"/>
        <v>3.1205476961394772E-2</v>
      </c>
      <c r="J10" s="24">
        <f t="shared" si="3"/>
        <v>3.1205476961394772E-2</v>
      </c>
      <c r="K10" s="22">
        <f t="shared" si="4"/>
        <v>9.3068966376089659E-3</v>
      </c>
      <c r="L10" s="22">
        <f t="shared" si="5"/>
        <v>9.3068966376089659E-3</v>
      </c>
      <c r="M10" s="223">
        <f t="shared" si="6"/>
        <v>3.1205476961394772E-2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0.12482190784557909</v>
      </c>
      <c r="Z10" s="125">
        <f>IF($Y10=0,0,AA10/$Y10)</f>
        <v>0.60256264787035974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7.5213019303662171E-2</v>
      </c>
      <c r="AB10" s="125">
        <f>IF($Y10=0,0,AC10/$Y10)</f>
        <v>0.39743735212964021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4.9608888541916918E-2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3.1205476961394772E-2</v>
      </c>
      <c r="AJ10" s="120">
        <f t="shared" si="14"/>
        <v>6.2410953922789544E-2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14574.528186966918</v>
      </c>
      <c r="S11" s="221">
        <f>IF($B$81=0,0,(SUMIF($N$6:$N$28,$U11,L$6:L$28)+SUMIF($N$91:$N$118,$U11,L$91:L$118))*$I$83*Poor!$B$81/$B$81)</f>
        <v>9203.9999999999982</v>
      </c>
      <c r="T11" s="221">
        <f>IF($B$81=0,0,(SUMIF($N$6:$N$28,$U11,M$6:M$28)+SUMIF($N$91:$N$118,$U11,M$91:M$118))*$I$83*Poor!$B$81/$B$81)</f>
        <v>6843.9999999999991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7414.3240828057342</v>
      </c>
      <c r="S13" s="221">
        <f>IF($B$81=0,0,(SUMIF($N$6:$N$28,$U13,L$6:L$28)+SUMIF($N$91:$N$118,$U13,L$91:L$118))*$I$83*Poor!$B$81/$B$81)</f>
        <v>5505.6000000000013</v>
      </c>
      <c r="T13" s="221">
        <f>IF($B$81=0,0,(SUMIF($N$6:$N$28,$U13,M$6:M$28)+SUMIF($N$91:$N$118,$U13,M$91:M$118))*$I$83*Poor!$B$81/$B$81)</f>
        <v>5505.6000000000013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22296.785890953695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2094.7120172507839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32916.011351488363</v>
      </c>
      <c r="S20" s="221">
        <f>IF($B$81=0,0,(SUMIF($N$6:$N$28,$U20,L$6:L$28)+SUMIF($N$91:$N$118,$U20,L$91:L$118))*$I$83*Poor!$B$81/$B$81)</f>
        <v>25983.599999999999</v>
      </c>
      <c r="T20" s="221">
        <f>IF($B$81=0,0,(SUMIF($N$6:$N$28,$U20,M$6:M$28)+SUMIF($N$91:$N$118,$U20,M$91:M$118))*$I$83*Poor!$B$81/$B$81)</f>
        <v>25983.599999999999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86672.869900004123</v>
      </c>
      <c r="S23" s="179">
        <f>SUM(S7:S22)</f>
        <v>50599.051755007647</v>
      </c>
      <c r="T23" s="179">
        <f>SUM(T7:T22)</f>
        <v>48440.369621175545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1.0051930496950525</v>
      </c>
      <c r="J30" s="230">
        <f>IF(I$32&lt;=1,I30,1-SUM(J6:J29))</f>
        <v>0.36309357772333528</v>
      </c>
      <c r="K30" s="22">
        <f t="shared" si="4"/>
        <v>0.58958408107098381</v>
      </c>
      <c r="L30" s="22">
        <f>IF(L124=L119,0,IF(K30="",0,(L119-L124)/(B119-B124)*K30))</f>
        <v>0.20587257929681377</v>
      </c>
      <c r="M30" s="175">
        <f t="shared" si="6"/>
        <v>0.36309357772333528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1.4523743108933411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0.1519634753597478</v>
      </c>
      <c r="AC30" s="187">
        <f>IF(AC79*4/$I$83+SUM(AC6:AC29)&lt;1,AC79*4/$I$83,1-SUM(AC6:AC29))</f>
        <v>0.22070784780657093</v>
      </c>
      <c r="AD30" s="122">
        <f>IF($Y30=0,0,AE30/($Y$30))</f>
        <v>0.44122757370831422</v>
      </c>
      <c r="AE30" s="187">
        <f>IF(AE79*4/$I$83+SUM(AE6:AE29)&lt;1,AE79*4/$I$83,1-SUM(AE6:AE29))</f>
        <v>0.64082759331175376</v>
      </c>
      <c r="AF30" s="122">
        <f>IF($Y30=0,0,AG30/($Y$30))</f>
        <v>0.40680895093193803</v>
      </c>
      <c r="AG30" s="187">
        <f>IF(AG79*4/$I$83+SUM(AG6:AG29)&lt;1,AG79*4/$I$83,1-SUM(AG6:AG29))</f>
        <v>0.59083886977501654</v>
      </c>
      <c r="AH30" s="123">
        <f t="shared" si="12"/>
        <v>1</v>
      </c>
      <c r="AI30" s="183">
        <f t="shared" si="13"/>
        <v>0.36309357772333528</v>
      </c>
      <c r="AJ30" s="120">
        <f t="shared" si="14"/>
        <v>0.11035392390328547</v>
      </c>
      <c r="AK30" s="119">
        <f t="shared" si="15"/>
        <v>0.61583323154338521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0.19531412931123338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3753.1818837210812</v>
      </c>
      <c r="T31" s="233">
        <f>IF(T25&gt;T$23,T25-T$23,0)</f>
        <v>5911.8640175531837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1.6420994719717172</v>
      </c>
      <c r="J32" s="17"/>
      <c r="L32" s="22">
        <f>SUM(L6:L30)</f>
        <v>0.80468587068876662</v>
      </c>
      <c r="M32" s="23"/>
      <c r="N32" s="56"/>
      <c r="O32" s="2"/>
      <c r="P32" s="22"/>
      <c r="Q32" s="233" t="s">
        <v>143</v>
      </c>
      <c r="R32" s="233">
        <f t="shared" si="50"/>
        <v>417.28373872459633</v>
      </c>
      <c r="S32" s="233">
        <f t="shared" si="50"/>
        <v>36491.101883721072</v>
      </c>
      <c r="T32" s="233">
        <f t="shared" si="50"/>
        <v>38649.784017553175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0.57103313982731363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5911.8640175531964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6372</v>
      </c>
      <c r="J37" s="38">
        <f t="shared" ref="J37:J49" si="53">J91*I$83</f>
        <v>6371.9999999999991</v>
      </c>
      <c r="K37" s="40">
        <f t="shared" ref="K37:K49" si="54">(B37/B$65)</f>
        <v>0.12662739654072713</v>
      </c>
      <c r="L37" s="22">
        <f t="shared" ref="L37:L49" si="55">(K37*H37)</f>
        <v>0.11953626233444641</v>
      </c>
      <c r="M37" s="24">
        <f t="shared" ref="M37:M49" si="56">J37/B$65</f>
        <v>0.11953626233444639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6371.9999999999991</v>
      </c>
      <c r="AH37" s="123">
        <f>SUM(Z37,AB37,AD37,AF37)</f>
        <v>1</v>
      </c>
      <c r="AI37" s="112">
        <f>SUM(AA37,AC37,AE37,AG37)</f>
        <v>6371.9999999999991</v>
      </c>
      <c r="AJ37" s="148">
        <f>(AA37+AC37)</f>
        <v>0</v>
      </c>
      <c r="AK37" s="147">
        <f>(AE37+AG37)</f>
        <v>6371.9999999999991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472</v>
      </c>
      <c r="J38" s="38">
        <f t="shared" si="53"/>
        <v>471.99999999999972</v>
      </c>
      <c r="K38" s="40">
        <f t="shared" si="54"/>
        <v>5.6278842906989833E-2</v>
      </c>
      <c r="L38" s="22">
        <f t="shared" si="55"/>
        <v>5.31272277041984E-2</v>
      </c>
      <c r="M38" s="24">
        <f t="shared" si="56"/>
        <v>8.8545379506997281E-3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471.99999999999972</v>
      </c>
      <c r="AH38" s="123">
        <f t="shared" ref="AH38:AI58" si="61">SUM(Z38,AB38,AD38,AF38)</f>
        <v>1</v>
      </c>
      <c r="AI38" s="112">
        <f t="shared" si="61"/>
        <v>471.99999999999972</v>
      </c>
      <c r="AJ38" s="148">
        <f t="shared" ref="AJ38:AJ64" si="62">(AA38+AC38)</f>
        <v>0</v>
      </c>
      <c r="AK38" s="147">
        <f t="shared" ref="AK38:AK64" si="63">(AE38+AG38)</f>
        <v>471.99999999999972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0.60256264787035985</v>
      </c>
      <c r="AA39" s="147">
        <f t="shared" ref="AA39:AA64" si="64">$J39*Z39</f>
        <v>0</v>
      </c>
      <c r="AB39" s="122">
        <f>AB8</f>
        <v>0.39743735212964015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0.60256264787035974</v>
      </c>
      <c r="AA40" s="147">
        <f t="shared" si="64"/>
        <v>0</v>
      </c>
      <c r="AB40" s="122">
        <f>AB9</f>
        <v>0.39743735212964021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2100</v>
      </c>
      <c r="J42" s="38">
        <f t="shared" si="53"/>
        <v>2099.9999999999995</v>
      </c>
      <c r="K42" s="40">
        <f t="shared" si="54"/>
        <v>2.8139421453494916E-2</v>
      </c>
      <c r="L42" s="22">
        <f t="shared" si="55"/>
        <v>3.9395190034892884E-2</v>
      </c>
      <c r="M42" s="24">
        <f t="shared" si="56"/>
        <v>3.9395190034892877E-2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524.99999999999989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1049.9999999999998</v>
      </c>
      <c r="AF42" s="122">
        <f t="shared" si="57"/>
        <v>0.25</v>
      </c>
      <c r="AG42" s="147">
        <f t="shared" si="60"/>
        <v>524.99999999999989</v>
      </c>
      <c r="AH42" s="123">
        <f t="shared" si="61"/>
        <v>1</v>
      </c>
      <c r="AI42" s="112">
        <f t="shared" si="61"/>
        <v>2099.9999999999995</v>
      </c>
      <c r="AJ42" s="148">
        <f t="shared" si="62"/>
        <v>524.99999999999989</v>
      </c>
      <c r="AK42" s="147">
        <f t="shared" si="63"/>
        <v>1574.9999999999995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3.0015382883727911E-3</v>
      </c>
      <c r="L43" s="22">
        <f t="shared" si="55"/>
        <v>4.2021536037219077E-3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3063.6000000000004</v>
      </c>
      <c r="J44" s="38">
        <f t="shared" si="53"/>
        <v>3063.6000000000004</v>
      </c>
      <c r="K44" s="40">
        <f t="shared" si="54"/>
        <v>5.1776535474430646E-2</v>
      </c>
      <c r="L44" s="22">
        <f t="shared" si="55"/>
        <v>5.747195437661802E-2</v>
      </c>
      <c r="M44" s="24">
        <f t="shared" si="56"/>
        <v>5.747195437661802E-2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765.90000000000009</v>
      </c>
      <c r="AB44" s="116">
        <v>0.25</v>
      </c>
      <c r="AC44" s="147">
        <f t="shared" si="65"/>
        <v>765.90000000000009</v>
      </c>
      <c r="AD44" s="116">
        <v>0.25</v>
      </c>
      <c r="AE44" s="147">
        <f t="shared" si="66"/>
        <v>765.90000000000009</v>
      </c>
      <c r="AF44" s="122">
        <f t="shared" si="57"/>
        <v>0.25</v>
      </c>
      <c r="AG44" s="147">
        <f t="shared" si="60"/>
        <v>765.90000000000009</v>
      </c>
      <c r="AH44" s="123">
        <f t="shared" si="61"/>
        <v>1</v>
      </c>
      <c r="AI44" s="112">
        <f t="shared" si="61"/>
        <v>3063.6000000000004</v>
      </c>
      <c r="AJ44" s="148">
        <f t="shared" si="62"/>
        <v>1531.8000000000002</v>
      </c>
      <c r="AK44" s="147">
        <f t="shared" si="63"/>
        <v>1531.8000000000002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1.1100000000000001</v>
      </c>
      <c r="G45" s="22">
        <f t="shared" si="59"/>
        <v>1.65</v>
      </c>
      <c r="H45" s="24">
        <f t="shared" si="51"/>
        <v>1.1100000000000001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2442</v>
      </c>
      <c r="J46" s="38">
        <f t="shared" si="53"/>
        <v>2442</v>
      </c>
      <c r="K46" s="40">
        <f t="shared" si="54"/>
        <v>4.1271151465125874E-2</v>
      </c>
      <c r="L46" s="22">
        <f t="shared" si="55"/>
        <v>4.5810978126289724E-2</v>
      </c>
      <c r="M46" s="24">
        <f t="shared" si="56"/>
        <v>4.5810978126289724E-2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610.5</v>
      </c>
      <c r="AB46" s="116">
        <v>0.25</v>
      </c>
      <c r="AC46" s="147">
        <f t="shared" si="65"/>
        <v>610.5</v>
      </c>
      <c r="AD46" s="116">
        <v>0.25</v>
      </c>
      <c r="AE46" s="147">
        <f t="shared" si="66"/>
        <v>610.5</v>
      </c>
      <c r="AF46" s="122">
        <f t="shared" si="57"/>
        <v>0.25</v>
      </c>
      <c r="AG46" s="147">
        <f t="shared" si="60"/>
        <v>610.5</v>
      </c>
      <c r="AH46" s="123">
        <f t="shared" si="61"/>
        <v>1</v>
      </c>
      <c r="AI46" s="112">
        <f t="shared" si="61"/>
        <v>2442</v>
      </c>
      <c r="AJ46" s="148">
        <f t="shared" si="62"/>
        <v>1221</v>
      </c>
      <c r="AK46" s="147">
        <f t="shared" si="63"/>
        <v>1221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0.8</v>
      </c>
      <c r="F47" s="26">
        <v>1.18</v>
      </c>
      <c r="G47" s="22">
        <f t="shared" si="59"/>
        <v>1.65</v>
      </c>
      <c r="H47" s="24">
        <f t="shared" si="51"/>
        <v>0.94399999999999995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7">SUM(B49,C49)</f>
        <v>22020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25983.599999999999</v>
      </c>
      <c r="J49" s="38">
        <f t="shared" si="53"/>
        <v>25983.599999999999</v>
      </c>
      <c r="K49" s="40">
        <f t="shared" si="54"/>
        <v>0.41308670693730537</v>
      </c>
      <c r="L49" s="22">
        <f t="shared" si="55"/>
        <v>0.4874423141860203</v>
      </c>
      <c r="M49" s="24">
        <f t="shared" si="56"/>
        <v>0.4874423141860203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6495.9</v>
      </c>
      <c r="AB49" s="116">
        <v>0.25</v>
      </c>
      <c r="AC49" s="147">
        <f t="shared" si="65"/>
        <v>6495.9</v>
      </c>
      <c r="AD49" s="116">
        <v>0.25</v>
      </c>
      <c r="AE49" s="147">
        <f t="shared" si="66"/>
        <v>6495.9</v>
      </c>
      <c r="AF49" s="122">
        <f t="shared" si="57"/>
        <v>0.25</v>
      </c>
      <c r="AG49" s="147">
        <f t="shared" si="60"/>
        <v>6495.9</v>
      </c>
      <c r="AH49" s="123">
        <f t="shared" si="61"/>
        <v>1</v>
      </c>
      <c r="AI49" s="112">
        <f t="shared" si="61"/>
        <v>25983.599999999999</v>
      </c>
      <c r="AJ49" s="148">
        <f t="shared" si="62"/>
        <v>12991.8</v>
      </c>
      <c r="AK49" s="147">
        <f t="shared" si="63"/>
        <v>12991.8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7"/>
        <v>14916</v>
      </c>
      <c r="E50" s="26">
        <v>0</v>
      </c>
      <c r="F50" s="26">
        <v>1.18</v>
      </c>
      <c r="G50" s="22">
        <f t="shared" si="59"/>
        <v>1.65</v>
      </c>
      <c r="H50" s="24">
        <f t="shared" ref="H50:H64" si="68">(E50*F50)</f>
        <v>0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0.27981840693355342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40433.199999999997</v>
      </c>
      <c r="J65" s="39">
        <f>SUM(J37:J64)</f>
        <v>40433.199999999997</v>
      </c>
      <c r="K65" s="40">
        <f>SUM(K37:K64)</f>
        <v>1</v>
      </c>
      <c r="L65" s="22">
        <f>SUM(L37:L64)</f>
        <v>0.80698608036618769</v>
      </c>
      <c r="M65" s="24">
        <f>SUM(M37:M64)</f>
        <v>0.75851123700896705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8397.2999999999993</v>
      </c>
      <c r="AB65" s="137"/>
      <c r="AC65" s="153">
        <f>SUM(AC37:AC64)</f>
        <v>7872.2999999999993</v>
      </c>
      <c r="AD65" s="137"/>
      <c r="AE65" s="153">
        <f>SUM(AE37:AE64)</f>
        <v>8922.2999999999993</v>
      </c>
      <c r="AF65" s="137"/>
      <c r="AG65" s="153">
        <f>SUM(AG37:AG64)</f>
        <v>15241.3</v>
      </c>
      <c r="AH65" s="137"/>
      <c r="AI65" s="153">
        <f>SUM(AI37:AI64)</f>
        <v>40433.199999999997</v>
      </c>
      <c r="AJ65" s="153">
        <f>SUM(AJ37:AJ64)</f>
        <v>16269.599999999999</v>
      </c>
      <c r="AK65" s="153">
        <f>SUM(AK37:AK64)</f>
        <v>24163.599999999999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5">J124*I$83</f>
        <v>20910.17354523344</v>
      </c>
      <c r="K70" s="40">
        <f>B70/B$76</f>
        <v>0.2801905647881161</v>
      </c>
      <c r="L70" s="22">
        <f t="shared" ref="L70:L75" si="76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18382.826666666671</v>
      </c>
      <c r="J71" s="51">
        <f t="shared" si="75"/>
        <v>18382.826666666671</v>
      </c>
      <c r="K71" s="40">
        <f t="shared" ref="K71:K72" si="78">B71/B$76</f>
        <v>0.29224977801123075</v>
      </c>
      <c r="L71" s="22">
        <f t="shared" si="76"/>
        <v>0.34485473805325234</v>
      </c>
      <c r="M71" s="24">
        <f t="shared" ref="M71:M72" si="79">J71/B$76</f>
        <v>0.3448547380532524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0.52046673920384201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8.7344764191648216E-2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19523.026454766554</v>
      </c>
      <c r="J74" s="51">
        <f t="shared" si="75"/>
        <v>7052.0638056530724</v>
      </c>
      <c r="K74" s="40">
        <f>B74/B$76</f>
        <v>0.1301917232581698</v>
      </c>
      <c r="L74" s="22">
        <f t="shared" si="76"/>
        <v>7.501015733937115E-2</v>
      </c>
      <c r="M74" s="24">
        <f>J74/B$76</f>
        <v>0.13229399702947273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1071.65612436573</v>
      </c>
      <c r="AD74" s="156"/>
      <c r="AE74" s="147">
        <f>AE30*$I$83/4</f>
        <v>3111.5650026045259</v>
      </c>
      <c r="AF74" s="156"/>
      <c r="AG74" s="147">
        <f>AG30*$I$83/4</f>
        <v>2868.8426786828168</v>
      </c>
      <c r="AH74" s="155"/>
      <c r="AI74" s="147">
        <f>SUM(AA74,AC74,AE74,AG74)</f>
        <v>7052.0638056530724</v>
      </c>
      <c r="AJ74" s="148">
        <f>(AA74+AC74)</f>
        <v>1071.65612436573</v>
      </c>
      <c r="AK74" s="147">
        <f>(AE74+AG74)</f>
        <v>5980.4076812873427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10314.670548700462</v>
      </c>
      <c r="AB75" s="158"/>
      <c r="AC75" s="149">
        <f>AA75+AC65-SUM(AC70,AC74)</f>
        <v>11887.771038026371</v>
      </c>
      <c r="AD75" s="158"/>
      <c r="AE75" s="149">
        <f>AC75+AE65-SUM(AE70,AE74)</f>
        <v>12470.962649113484</v>
      </c>
      <c r="AF75" s="158"/>
      <c r="AG75" s="149">
        <f>IF(SUM(AG6:AG29)+((AG65-AG70-$J$75)*4/I$83)&lt;1,0,AG65-AG70-$J$75-(1-SUM(AG6:AG29))*I$83/4)</f>
        <v>7144.9139350088226</v>
      </c>
      <c r="AH75" s="134"/>
      <c r="AI75" s="149">
        <f>AI76-SUM(AI70,AI74)</f>
        <v>12470.962649113484</v>
      </c>
      <c r="AJ75" s="151">
        <f>AJ76-SUM(AJ70,AJ74)</f>
        <v>4742.8571030175481</v>
      </c>
      <c r="AK75" s="149">
        <f>AJ75+AK76-SUM(AK70,AK74)</f>
        <v>12470.962649113484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40433.19999999999</v>
      </c>
      <c r="J76" s="51">
        <f t="shared" si="75"/>
        <v>40433.19999999999</v>
      </c>
      <c r="K76" s="40">
        <f>SUM(K70:K75)</f>
        <v>1.310443569453007</v>
      </c>
      <c r="L76" s="22">
        <f>SUM(L70:L75)</f>
        <v>0.81213168609598596</v>
      </c>
      <c r="M76" s="24">
        <f>SUM(M70:M75)</f>
        <v>0.86941552578608761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8397.2999999999993</v>
      </c>
      <c r="AB76" s="137"/>
      <c r="AC76" s="153">
        <f>AC65</f>
        <v>7872.2999999999993</v>
      </c>
      <c r="AD76" s="137"/>
      <c r="AE76" s="153">
        <f>AE65</f>
        <v>8922.2999999999993</v>
      </c>
      <c r="AF76" s="137"/>
      <c r="AG76" s="153">
        <f>AG65</f>
        <v>15241.3</v>
      </c>
      <c r="AH76" s="137"/>
      <c r="AI76" s="153">
        <f>SUM(AA76,AC76,AE76,AG76)</f>
        <v>40433.199999999997</v>
      </c>
      <c r="AJ76" s="154">
        <f>SUM(AA76,AC76)</f>
        <v>16269.599999999999</v>
      </c>
      <c r="AK76" s="154">
        <f>SUM(AE76,AG76)</f>
        <v>24163.599999999999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18382.826666666668</v>
      </c>
      <c r="J77" s="100">
        <f t="shared" si="75"/>
        <v>5911.8640175531964</v>
      </c>
      <c r="K77" s="40"/>
      <c r="L77" s="22">
        <f>-(L131*G$37*F$9/F$7)/B$130</f>
        <v>-0.34485473805325229</v>
      </c>
      <c r="M77" s="24">
        <f>-J77/B$76</f>
        <v>-0.1109042887771207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7144.9139350088226</v>
      </c>
      <c r="AB78" s="112"/>
      <c r="AC78" s="112">
        <f>IF(AA75&lt;0,0,AA75)</f>
        <v>10314.670548700462</v>
      </c>
      <c r="AD78" s="112"/>
      <c r="AE78" s="112">
        <f>AC75</f>
        <v>11887.771038026371</v>
      </c>
      <c r="AF78" s="112"/>
      <c r="AG78" s="112">
        <f>AE75</f>
        <v>12470.962649113484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10314.670548700462</v>
      </c>
      <c r="AB79" s="112"/>
      <c r="AC79" s="112">
        <f>AA79-AA74+AC65-AC70</f>
        <v>12959.427162392101</v>
      </c>
      <c r="AD79" s="112"/>
      <c r="AE79" s="112">
        <f>AC79-AC74+AE65-AE70</f>
        <v>15582.52765171801</v>
      </c>
      <c r="AF79" s="112"/>
      <c r="AG79" s="112">
        <f>AE79-AE74+AG65-AG70</f>
        <v>22484.719262805123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0.57344273014829117</v>
      </c>
      <c r="C91" s="60">
        <f t="shared" si="81"/>
        <v>0</v>
      </c>
      <c r="D91" s="24">
        <f>SUM(B91,C91)</f>
        <v>0.57344273014829117</v>
      </c>
      <c r="H91" s="24">
        <f>(E37*F37/G37*F$7/F$9)</f>
        <v>0.57212121212121214</v>
      </c>
      <c r="I91" s="22">
        <f t="shared" ref="I91" si="82">(D91*H91)</f>
        <v>0.3280787498545375</v>
      </c>
      <c r="J91" s="24">
        <f>IF(I$32&lt;=1+I$131,I91,L91+J$33*(I91-L91))</f>
        <v>0.3280787498545375</v>
      </c>
      <c r="K91" s="22">
        <f t="shared" ref="K91" si="83">IF(B91="",0,B91)</f>
        <v>0.57344273014829117</v>
      </c>
      <c r="L91" s="22">
        <f t="shared" ref="L91" si="84">(K91*H91)</f>
        <v>0.3280787498545375</v>
      </c>
      <c r="M91" s="226">
        <f t="shared" si="80"/>
        <v>0.3280787498545375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0.25486343562146274</v>
      </c>
      <c r="C92" s="60">
        <f t="shared" si="81"/>
        <v>-0.21238619635121897</v>
      </c>
      <c r="D92" s="24">
        <f t="shared" ref="D92:D118" si="86">SUM(B92,C92)</f>
        <v>4.2477239270243772E-2</v>
      </c>
      <c r="H92" s="24">
        <f t="shared" ref="H92:H118" si="87">(E38*F38/G38*F$7/F$9)</f>
        <v>0.57212121212121214</v>
      </c>
      <c r="I92" s="22">
        <f t="shared" ref="I92:I118" si="88">(D92*H92)</f>
        <v>2.4302129618854619E-2</v>
      </c>
      <c r="J92" s="24">
        <f t="shared" ref="J92:J118" si="89">IF(I$32&lt;=1+I$131,I92,L92+J$33*(I92-L92))</f>
        <v>2.4302129618854619E-2</v>
      </c>
      <c r="K92" s="22">
        <f t="shared" ref="K92:K118" si="90">IF(B92="",0,B92)</f>
        <v>0.25486343562146274</v>
      </c>
      <c r="L92" s="22">
        <f t="shared" ref="L92:L118" si="91">(K92*H92)</f>
        <v>0.14581277771312778</v>
      </c>
      <c r="M92" s="226">
        <f t="shared" ref="M92:M118" si="92">(J92)</f>
        <v>2.4302129618854619E-2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0.12743171781073137</v>
      </c>
      <c r="C96" s="60">
        <f t="shared" si="81"/>
        <v>0</v>
      </c>
      <c r="D96" s="24">
        <f t="shared" si="86"/>
        <v>0.12743171781073137</v>
      </c>
      <c r="H96" s="24">
        <f t="shared" si="87"/>
        <v>0.84848484848484851</v>
      </c>
      <c r="I96" s="22">
        <f t="shared" si="88"/>
        <v>0.10812388177880237</v>
      </c>
      <c r="J96" s="24">
        <f t="shared" si="89"/>
        <v>0.10812388177880237</v>
      </c>
      <c r="K96" s="22">
        <f t="shared" si="90"/>
        <v>0.12743171781073137</v>
      </c>
      <c r="L96" s="22">
        <f t="shared" si="91"/>
        <v>0.10812388177880237</v>
      </c>
      <c r="M96" s="226">
        <f t="shared" si="92"/>
        <v>0.10812388177880237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1.3592716566478013E-2</v>
      </c>
      <c r="C97" s="60">
        <f t="shared" si="81"/>
        <v>-1.3592716566478013E-2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1.3592716566478013E-2</v>
      </c>
      <c r="L97" s="22">
        <f t="shared" si="91"/>
        <v>1.1533214056405587E-2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0.23447436077174574</v>
      </c>
      <c r="C98" s="60">
        <f t="shared" si="81"/>
        <v>0</v>
      </c>
      <c r="D98" s="24">
        <f t="shared" si="86"/>
        <v>0.23447436077174574</v>
      </c>
      <c r="H98" s="24">
        <f t="shared" si="87"/>
        <v>0.67272727272727284</v>
      </c>
      <c r="I98" s="22">
        <f t="shared" si="88"/>
        <v>0.15773729724644717</v>
      </c>
      <c r="J98" s="24">
        <f t="shared" si="89"/>
        <v>0.15773729724644717</v>
      </c>
      <c r="K98" s="22">
        <f t="shared" si="90"/>
        <v>0.23447436077174574</v>
      </c>
      <c r="L98" s="22">
        <f t="shared" si="91"/>
        <v>0.15773729724644717</v>
      </c>
      <c r="M98" s="226">
        <f t="shared" si="92"/>
        <v>0.15773729724644717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Construction cash income -- see Data2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0.67272727272727284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Domestic work cash income -- see Data2</v>
      </c>
      <c r="B100" s="60">
        <f t="shared" si="81"/>
        <v>0.1868998527890727</v>
      </c>
      <c r="C100" s="60">
        <f t="shared" si="81"/>
        <v>0</v>
      </c>
      <c r="D100" s="24">
        <f t="shared" si="86"/>
        <v>0.1868998527890727</v>
      </c>
      <c r="H100" s="24">
        <f t="shared" si="87"/>
        <v>0.67272727272727284</v>
      </c>
      <c r="I100" s="22">
        <f t="shared" si="88"/>
        <v>0.12573262823992165</v>
      </c>
      <c r="J100" s="24">
        <f t="shared" si="89"/>
        <v>0.12573262823992165</v>
      </c>
      <c r="K100" s="22">
        <f t="shared" si="90"/>
        <v>0.1868998527890727</v>
      </c>
      <c r="L100" s="22">
        <f t="shared" si="91"/>
        <v>0.12573262823992165</v>
      </c>
      <c r="M100" s="226">
        <f t="shared" si="92"/>
        <v>0.12573262823992165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Labour migration(formal employment): no. people per HH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0.57212121212121214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Small business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0.57212121212121214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Social development -- see Data2</v>
      </c>
      <c r="B103" s="60">
        <f t="shared" si="81"/>
        <v>1.8706976174615366</v>
      </c>
      <c r="C103" s="60">
        <f t="shared" si="81"/>
        <v>0</v>
      </c>
      <c r="D103" s="24">
        <f t="shared" si="86"/>
        <v>1.8706976174615366</v>
      </c>
      <c r="H103" s="24">
        <f t="shared" si="87"/>
        <v>0.7151515151515152</v>
      </c>
      <c r="I103" s="22">
        <f t="shared" si="88"/>
        <v>1.3378322355179475</v>
      </c>
      <c r="J103" s="24">
        <f t="shared" si="89"/>
        <v>1.3378322355179475</v>
      </c>
      <c r="K103" s="22">
        <f t="shared" si="90"/>
        <v>1.8706976174615366</v>
      </c>
      <c r="L103" s="22">
        <f t="shared" si="91"/>
        <v>1.3378322355179475</v>
      </c>
      <c r="M103" s="226">
        <f t="shared" si="92"/>
        <v>1.3378322355179475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Public works -- see Data2</v>
      </c>
      <c r="B104" s="60">
        <f t="shared" si="81"/>
        <v>1.2671810019099128</v>
      </c>
      <c r="C104" s="60">
        <f t="shared" si="81"/>
        <v>0</v>
      </c>
      <c r="D104" s="24">
        <f t="shared" si="86"/>
        <v>1.2671810019099128</v>
      </c>
      <c r="H104" s="24">
        <f t="shared" si="87"/>
        <v>0</v>
      </c>
      <c r="I104" s="22">
        <f t="shared" si="88"/>
        <v>0</v>
      </c>
      <c r="J104" s="24">
        <f t="shared" si="89"/>
        <v>0</v>
      </c>
      <c r="K104" s="22">
        <f t="shared" si="90"/>
        <v>1.2671810019099128</v>
      </c>
      <c r="L104" s="22">
        <f t="shared" si="91"/>
        <v>0</v>
      </c>
      <c r="M104" s="226">
        <f t="shared" si="92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Gifts/social support: type (Child support, Pension and Foster Care)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0.67272727272727284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2.0818069222565105</v>
      </c>
      <c r="J119" s="24">
        <f>SUM(J91:J118)</f>
        <v>2.0818069222565105</v>
      </c>
      <c r="K119" s="22">
        <f>SUM(K91:K118)</f>
        <v>4.5285834330792314</v>
      </c>
      <c r="L119" s="22">
        <f>SUM(L91:L118)</f>
        <v>2.2148507844071896</v>
      </c>
      <c r="M119" s="57">
        <f t="shared" si="80"/>
        <v>2.0818069222565105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9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239">
        <f t="shared" si="93"/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1.0051930496950525</v>
      </c>
      <c r="J128" s="227">
        <f>(J30)</f>
        <v>0.36309357772333528</v>
      </c>
      <c r="K128" s="29">
        <f>(B128)</f>
        <v>0.58958408107098381</v>
      </c>
      <c r="L128" s="29">
        <f>IF(L124=L119,0,(L119-L124)/(B119-B124)*K128)</f>
        <v>0.20587257929681377</v>
      </c>
      <c r="M128" s="239">
        <f t="shared" si="93"/>
        <v>0.36309357772333528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2.0818069222565105</v>
      </c>
      <c r="J130" s="227">
        <f>(J119)</f>
        <v>2.0818069222565105</v>
      </c>
      <c r="K130" s="29">
        <f>(B130)</f>
        <v>4.5285834330792314</v>
      </c>
      <c r="L130" s="29">
        <f>(L119)</f>
        <v>2.2148507844071896</v>
      </c>
      <c r="M130" s="239">
        <f t="shared" si="93"/>
        <v>2.0818069222565105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0.30438746958394169</v>
      </c>
      <c r="K131" s="29"/>
      <c r="L131" s="29">
        <f>IF(I131&lt;SUM(L126:L127),0,I131-(SUM(L126:L127)))</f>
        <v>0.94648694155565849</v>
      </c>
      <c r="M131" s="236">
        <f>IF(I131&lt;SUM(M126:M127),0,I131-(SUM(M126:M127)))</f>
        <v>0.94648694155565849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28" priority="116" operator="equal">
      <formula>16</formula>
    </cfRule>
    <cfRule type="cellIs" dxfId="327" priority="117" operator="equal">
      <formula>15</formula>
    </cfRule>
    <cfRule type="cellIs" dxfId="326" priority="118" operator="equal">
      <formula>14</formula>
    </cfRule>
    <cfRule type="cellIs" dxfId="325" priority="119" operator="equal">
      <formula>13</formula>
    </cfRule>
    <cfRule type="cellIs" dxfId="324" priority="120" operator="equal">
      <formula>12</formula>
    </cfRule>
    <cfRule type="cellIs" dxfId="323" priority="121" operator="equal">
      <formula>11</formula>
    </cfRule>
    <cfRule type="cellIs" dxfId="322" priority="122" operator="equal">
      <formula>10</formula>
    </cfRule>
    <cfRule type="cellIs" dxfId="321" priority="123" operator="equal">
      <formula>9</formula>
    </cfRule>
    <cfRule type="cellIs" dxfId="320" priority="124" operator="equal">
      <formula>8</formula>
    </cfRule>
    <cfRule type="cellIs" dxfId="319" priority="125" operator="equal">
      <formula>7</formula>
    </cfRule>
    <cfRule type="cellIs" dxfId="318" priority="126" operator="equal">
      <formula>6</formula>
    </cfRule>
    <cfRule type="cellIs" dxfId="317" priority="127" operator="equal">
      <formula>5</formula>
    </cfRule>
    <cfRule type="cellIs" dxfId="316" priority="128" operator="equal">
      <formula>4</formula>
    </cfRule>
    <cfRule type="cellIs" dxfId="315" priority="129" operator="equal">
      <formula>3</formula>
    </cfRule>
    <cfRule type="cellIs" dxfId="314" priority="130" operator="equal">
      <formula>2</formula>
    </cfRule>
    <cfRule type="cellIs" dxfId="313" priority="131" operator="equal">
      <formula>1</formula>
    </cfRule>
  </conditionalFormatting>
  <conditionalFormatting sqref="N112:N118">
    <cfRule type="cellIs" dxfId="312" priority="52" operator="equal">
      <formula>16</formula>
    </cfRule>
    <cfRule type="cellIs" dxfId="311" priority="53" operator="equal">
      <formula>15</formula>
    </cfRule>
    <cfRule type="cellIs" dxfId="310" priority="54" operator="equal">
      <formula>14</formula>
    </cfRule>
    <cfRule type="cellIs" dxfId="309" priority="55" operator="equal">
      <formula>13</formula>
    </cfRule>
    <cfRule type="cellIs" dxfId="308" priority="56" operator="equal">
      <formula>12</formula>
    </cfRule>
    <cfRule type="cellIs" dxfId="307" priority="57" operator="equal">
      <formula>11</formula>
    </cfRule>
    <cfRule type="cellIs" dxfId="306" priority="58" operator="equal">
      <formula>10</formula>
    </cfRule>
    <cfRule type="cellIs" dxfId="305" priority="59" operator="equal">
      <formula>9</formula>
    </cfRule>
    <cfRule type="cellIs" dxfId="304" priority="60" operator="equal">
      <formula>8</formula>
    </cfRule>
    <cfRule type="cellIs" dxfId="303" priority="61" operator="equal">
      <formula>7</formula>
    </cfRule>
    <cfRule type="cellIs" dxfId="302" priority="62" operator="equal">
      <formula>6</formula>
    </cfRule>
    <cfRule type="cellIs" dxfId="301" priority="63" operator="equal">
      <formula>5</formula>
    </cfRule>
    <cfRule type="cellIs" dxfId="300" priority="64" operator="equal">
      <formula>4</formula>
    </cfRule>
    <cfRule type="cellIs" dxfId="299" priority="65" operator="equal">
      <formula>3</formula>
    </cfRule>
    <cfRule type="cellIs" dxfId="298" priority="66" operator="equal">
      <formula>2</formula>
    </cfRule>
    <cfRule type="cellIs" dxfId="297" priority="67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1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6:N26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4.0228607009428929E-2</v>
      </c>
      <c r="J6" s="24">
        <f t="shared" ref="J6:J13" si="3">IF(I$32&lt;=1+I$131,I6,B6*H6+J$33*(I6-B6*H6))</f>
        <v>4.0228607009428929E-2</v>
      </c>
      <c r="K6" s="22">
        <f t="shared" ref="K6:K31" si="4">B6</f>
        <v>8.0457214018857859E-2</v>
      </c>
      <c r="L6" s="22">
        <f t="shared" ref="L6:L29" si="5">IF(K6="","",K6*H6)</f>
        <v>4.0228607009428929E-2</v>
      </c>
      <c r="M6" s="223">
        <f t="shared" ref="M6:M31" si="6">J6</f>
        <v>4.0228607009428929E-2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0.16091442803771572</v>
      </c>
      <c r="Z6" s="156">
        <f>Poor!Z6</f>
        <v>0.17</v>
      </c>
      <c r="AA6" s="121">
        <f>$M6*Z6*4</f>
        <v>2.7355452766411673E-2</v>
      </c>
      <c r="AB6" s="156">
        <f>Poor!AB6</f>
        <v>0.17</v>
      </c>
      <c r="AC6" s="121">
        <f t="shared" ref="AC6:AC29" si="7">$M6*AB6*4</f>
        <v>2.7355452766411673E-2</v>
      </c>
      <c r="AD6" s="156">
        <f>Poor!AD6</f>
        <v>0.33</v>
      </c>
      <c r="AE6" s="121">
        <f t="shared" ref="AE6:AE29" si="8">$M6*AD6*4</f>
        <v>5.3101761252446186E-2</v>
      </c>
      <c r="AF6" s="122">
        <f>1-SUM(Z6,AB6,AD6)</f>
        <v>0.32999999999999996</v>
      </c>
      <c r="AG6" s="121">
        <f>$M6*AF6*4</f>
        <v>5.3101761252446179E-2</v>
      </c>
      <c r="AH6" s="123">
        <f>SUM(Z6,AB6,AD6,AF6)</f>
        <v>1</v>
      </c>
      <c r="AI6" s="183">
        <f>SUM(AA6,AC6,AE6,AG6)/4</f>
        <v>4.0228607009428929E-2</v>
      </c>
      <c r="AJ6" s="120">
        <f>(AA6+AC6)/2</f>
        <v>2.7355452766411673E-2</v>
      </c>
      <c r="AK6" s="119">
        <f>(AE6+AG6)/2</f>
        <v>5.3101761252446186E-2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3.0129169186977403E-2</v>
      </c>
      <c r="J7" s="24">
        <f t="shared" si="3"/>
        <v>3.0129169186977403E-2</v>
      </c>
      <c r="K7" s="22">
        <f t="shared" si="4"/>
        <v>6.0258338373954806E-2</v>
      </c>
      <c r="L7" s="22">
        <f t="shared" si="5"/>
        <v>3.0129169186977403E-2</v>
      </c>
      <c r="M7" s="223">
        <f t="shared" si="6"/>
        <v>3.0129169186977403E-2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3726.3812702696764</v>
      </c>
      <c r="S7" s="221">
        <f>IF($B$81=0,0,(SUMIF($N$6:$N$28,$U7,L$6:L$28)+SUMIF($N$91:$N$118,$U7,L$91:L$118))*$I$83*Poor!$B$81/$B$81)</f>
        <v>4231.3702710922989</v>
      </c>
      <c r="T7" s="221">
        <f>IF($B$81=0,0,(SUMIF($N$6:$N$28,$U7,M$6:M$28)+SUMIF($N$91:$N$118,$U7,M$91:M$118))*$I$83*Poor!$B$81/$B$81)</f>
        <v>3943.4073594293845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0.12051667674790961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0.12051667674790961</v>
      </c>
      <c r="AH7" s="123">
        <f t="shared" ref="AH7:AH30" si="12">SUM(Z7,AB7,AD7,AF7)</f>
        <v>1</v>
      </c>
      <c r="AI7" s="183">
        <f t="shared" ref="AI7:AI30" si="13">SUM(AA7,AC7,AE7,AG7)/4</f>
        <v>3.0129169186977403E-2</v>
      </c>
      <c r="AJ7" s="120">
        <f t="shared" ref="AJ7:AJ31" si="14">(AA7+AC7)/2</f>
        <v>0</v>
      </c>
      <c r="AK7" s="119">
        <f t="shared" ref="AK7:AK31" si="15">(AE7+AG7)/2</f>
        <v>6.0258338373954806E-2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1.0900000000000001</v>
      </c>
      <c r="F8" s="22" t="s">
        <v>23</v>
      </c>
      <c r="H8" s="24">
        <f t="shared" si="1"/>
        <v>1.0900000000000001</v>
      </c>
      <c r="I8" s="22">
        <f t="shared" si="2"/>
        <v>0.81046534050880636</v>
      </c>
      <c r="J8" s="24">
        <f t="shared" si="3"/>
        <v>6.327115119778072E-2</v>
      </c>
      <c r="K8" s="22">
        <f t="shared" si="4"/>
        <v>6.759510763209392E-2</v>
      </c>
      <c r="L8" s="22">
        <f t="shared" si="5"/>
        <v>7.3678667318982385E-2</v>
      </c>
      <c r="M8" s="223">
        <f t="shared" si="6"/>
        <v>6.327115119778072E-2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37840.38673597858</v>
      </c>
      <c r="S8" s="221">
        <f>IF($B$81=0,0,(SUMIF($N$6:$N$28,$U8,L$6:L$28)+SUMIF($N$91:$N$118,$U8,L$91:L$118))*$I$83*Poor!$B$81/$B$81)</f>
        <v>35785.599999999999</v>
      </c>
      <c r="T8" s="221">
        <f>IF($B$81=0,0,(SUMIF($N$6:$N$28,$U8,M$6:M$28)+SUMIF($N$91:$N$118,$U8,M$91:M$118))*$I$83*Poor!$B$81/$B$81)</f>
        <v>35901.226092411365</v>
      </c>
      <c r="U8" s="222">
        <v>2</v>
      </c>
      <c r="V8" s="56"/>
      <c r="W8" s="115"/>
      <c r="X8" s="118">
        <f>Poor!X8</f>
        <v>1</v>
      </c>
      <c r="Y8" s="183">
        <f t="shared" si="9"/>
        <v>0.25308460479112288</v>
      </c>
      <c r="Z8" s="125">
        <f>IF($Y8=0,0,AA8/$Y8)</f>
        <v>0.68944753093390643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0.17448855589062318</v>
      </c>
      <c r="AB8" s="125">
        <f>IF($Y8=0,0,AC8/$Y8)</f>
        <v>0.31055246906609357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7.8596048900499704E-2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6.327115119778072E-2</v>
      </c>
      <c r="AJ8" s="120">
        <f t="shared" si="14"/>
        <v>0.12654230239556144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3.1563004803415763E-2</v>
      </c>
      <c r="J9" s="24">
        <f t="shared" si="3"/>
        <v>3.1563004803415763E-2</v>
      </c>
      <c r="K9" s="22">
        <f t="shared" si="4"/>
        <v>3.1563004803415763E-2</v>
      </c>
      <c r="L9" s="22">
        <f t="shared" si="5"/>
        <v>3.1563004803415763E-2</v>
      </c>
      <c r="M9" s="223">
        <f t="shared" si="6"/>
        <v>3.1563004803415763E-2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2475.9718923349787</v>
      </c>
      <c r="S9" s="221">
        <f>IF($B$81=0,0,(SUMIF($N$6:$N$28,$U9,L$6:L$28)+SUMIF($N$91:$N$118,$U9,L$91:L$118))*$I$83*Poor!$B$81/$B$81)</f>
        <v>1366.5004213844259</v>
      </c>
      <c r="T9" s="221">
        <f>IF($B$81=0,0,(SUMIF($N$6:$N$28,$U9,M$6:M$28)+SUMIF($N$91:$N$118,$U9,M$91:M$118))*$I$83*Poor!$B$81/$B$81)</f>
        <v>1366.5004213844259</v>
      </c>
      <c r="U9" s="222">
        <v>3</v>
      </c>
      <c r="V9" s="56"/>
      <c r="W9" s="115"/>
      <c r="X9" s="118">
        <f>Poor!X9</f>
        <v>1</v>
      </c>
      <c r="Y9" s="183">
        <f t="shared" si="9"/>
        <v>0.12625201921366305</v>
      </c>
      <c r="Z9" s="125">
        <f>IF($Y9=0,0,AA9/$Y9)</f>
        <v>0.68944753093390643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8.7044142922280104E-2</v>
      </c>
      <c r="AB9" s="125">
        <f>IF($Y9=0,0,AC9/$Y9)</f>
        <v>0.31055246906609357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3.9207876291382948E-2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3.1563004803415763E-2</v>
      </c>
      <c r="AJ9" s="120">
        <f t="shared" si="14"/>
        <v>6.3126009606831526E-2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1</v>
      </c>
      <c r="H10" s="24">
        <f t="shared" si="1"/>
        <v>1</v>
      </c>
      <c r="I10" s="22">
        <f t="shared" si="2"/>
        <v>0.42545813200498128</v>
      </c>
      <c r="J10" s="24">
        <f t="shared" si="3"/>
        <v>0.10820227787337594</v>
      </c>
      <c r="K10" s="22">
        <f t="shared" si="4"/>
        <v>0.11262127023661268</v>
      </c>
      <c r="L10" s="22">
        <f t="shared" si="5"/>
        <v>0.11262127023661268</v>
      </c>
      <c r="M10" s="223">
        <f t="shared" si="6"/>
        <v>0.10820227787337594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0.43280911149350376</v>
      </c>
      <c r="Z10" s="125">
        <f>IF($Y10=0,0,AA10/$Y10)</f>
        <v>0.68944753093390632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0.29839917328489396</v>
      </c>
      <c r="AB10" s="125">
        <f>IF($Y10=0,0,AC10/$Y10)</f>
        <v>0.31055246906609363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0.1344099382086098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0.10820227787337594</v>
      </c>
      <c r="AJ10" s="120">
        <f t="shared" si="14"/>
        <v>0.21640455574675188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42538.403147894649</v>
      </c>
      <c r="S11" s="221">
        <f>IF($B$81=0,0,(SUMIF($N$6:$N$28,$U11,L$6:L$28)+SUMIF($N$91:$N$118,$U11,L$91:L$118))*$I$83*Poor!$B$81/$B$81)</f>
        <v>27214.17142857143</v>
      </c>
      <c r="T11" s="221">
        <f>IF($B$81=0,0,(SUMIF($N$6:$N$28,$U11,M$6:M$28)+SUMIF($N$91:$N$118,$U11,M$91:M$118))*$I$83*Poor!$B$81/$B$81)</f>
        <v>27153.213631611568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32800.696403195871</v>
      </c>
      <c r="S13" s="221">
        <f>IF($B$81=0,0,(SUMIF($N$6:$N$28,$U13,L$6:L$28)+SUMIF($N$91:$N$118,$U13,L$91:L$118))*$I$83*Poor!$B$81/$B$81)</f>
        <v>20714.057142857142</v>
      </c>
      <c r="T13" s="221">
        <f>IF($B$81=0,0,(SUMIF($N$6:$N$28,$U13,M$6:M$28)+SUMIF($N$91:$N$118,$U13,M$91:M$118))*$I$83*Poor!$B$81/$B$81)</f>
        <v>20714.057142857142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13017.776385018364</v>
      </c>
      <c r="S17" s="221">
        <f>IF($B$81=0,0,(SUMIF($N$6:$N$28,$U17,L$6:L$28)+SUMIF($N$91:$N$118,$U17,L$91:L$118))*$I$83*Poor!$B$81/$B$81)</f>
        <v>10276.114285714286</v>
      </c>
      <c r="T17" s="221">
        <f>IF($B$81=0,0,(SUMIF($N$6:$N$28,$U17,M$6:M$28)+SUMIF($N$91:$N$118,$U17,M$91:M$118))*$I$83*Poor!$B$81/$B$81)</f>
        <v>10276.114285714286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20500.435251997424</v>
      </c>
      <c r="S21" s="221">
        <f>IF($B$81=0,0,(SUMIF($N$6:$N$28,$U21,L$6:L$28)+SUMIF($N$91:$N$118,$U21,L$91:L$118))*$I$83*Poor!$B$81/$B$81)</f>
        <v>15222.857142857143</v>
      </c>
      <c r="T21" s="221">
        <f>IF($B$81=0,0,(SUMIF($N$6:$N$28,$U21,M$6:M$28)+SUMIF($N$91:$N$118,$U21,M$91:M$118))*$I$83*Poor!$B$81/$B$81)</f>
        <v>15222.857142857143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154994.76310394032</v>
      </c>
      <c r="S23" s="179">
        <f>SUM(S7:S22)</f>
        <v>117122.83333302494</v>
      </c>
      <c r="T23" s="179">
        <f>SUM(T7:T22)</f>
        <v>116889.53871681353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1.5364247792944888E-2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1.5364247792944888E-2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6.1456991171779551E-2</v>
      </c>
      <c r="Z27" s="156">
        <f>Poor!Z27</f>
        <v>0.25</v>
      </c>
      <c r="AA27" s="121">
        <f t="shared" si="16"/>
        <v>1.5364247792944888E-2</v>
      </c>
      <c r="AB27" s="156">
        <f>Poor!AB27</f>
        <v>0.25</v>
      </c>
      <c r="AC27" s="121">
        <f t="shared" si="7"/>
        <v>1.5364247792944888E-2</v>
      </c>
      <c r="AD27" s="156">
        <f>Poor!AD27</f>
        <v>0.25</v>
      </c>
      <c r="AE27" s="121">
        <f t="shared" si="8"/>
        <v>1.5364247792944888E-2</v>
      </c>
      <c r="AF27" s="122">
        <f t="shared" si="10"/>
        <v>0.25</v>
      </c>
      <c r="AG27" s="121">
        <f t="shared" si="11"/>
        <v>1.5364247792944888E-2</v>
      </c>
      <c r="AH27" s="123">
        <f t="shared" si="12"/>
        <v>1</v>
      </c>
      <c r="AI27" s="183">
        <f t="shared" si="13"/>
        <v>1.5364247792944888E-2</v>
      </c>
      <c r="AJ27" s="120">
        <f t="shared" si="14"/>
        <v>1.5364247792944888E-2</v>
      </c>
      <c r="AK27" s="119">
        <f t="shared" si="15"/>
        <v>1.5364247792944888E-2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0.27830080829522713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0.27830080829522713</v>
      </c>
      <c r="N29" s="228"/>
      <c r="P29" s="22"/>
      <c r="V29" s="56"/>
      <c r="W29" s="110"/>
      <c r="X29" s="118"/>
      <c r="Y29" s="183">
        <f t="shared" si="9"/>
        <v>1.1132032331809085</v>
      </c>
      <c r="Z29" s="156">
        <f>Poor!Z29</f>
        <v>0.25</v>
      </c>
      <c r="AA29" s="121">
        <f t="shared" si="16"/>
        <v>0.27830080829522713</v>
      </c>
      <c r="AB29" s="156">
        <f>Poor!AB29</f>
        <v>0.25</v>
      </c>
      <c r="AC29" s="121">
        <f t="shared" si="7"/>
        <v>0.27830080829522713</v>
      </c>
      <c r="AD29" s="156">
        <f>Poor!AD29</f>
        <v>0.25</v>
      </c>
      <c r="AE29" s="121">
        <f t="shared" si="8"/>
        <v>0.27830080829522713</v>
      </c>
      <c r="AF29" s="122">
        <f t="shared" si="10"/>
        <v>0.25</v>
      </c>
      <c r="AG29" s="121">
        <f t="shared" si="11"/>
        <v>0.27830080829522713</v>
      </c>
      <c r="AH29" s="123">
        <f t="shared" si="12"/>
        <v>1</v>
      </c>
      <c r="AI29" s="183">
        <f t="shared" si="13"/>
        <v>0.27830080829522713</v>
      </c>
      <c r="AJ29" s="120">
        <f t="shared" si="14"/>
        <v>0.27830080829522713</v>
      </c>
      <c r="AK29" s="119">
        <f t="shared" si="15"/>
        <v>0.27830080829522713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4.3472213264506534</v>
      </c>
      <c r="J30" s="230">
        <f>IF(I$32&lt;=1,I30,1-SUM(J6:J29))</f>
        <v>0.31389311479323023</v>
      </c>
      <c r="K30" s="22">
        <f t="shared" si="4"/>
        <v>0.54316672549368428</v>
      </c>
      <c r="L30" s="22">
        <f>IF(L124=L119,0,IF(K30="",0,(L119-L124)/(B119-B124)*K30))</f>
        <v>0.34937570217951963</v>
      </c>
      <c r="M30" s="175">
        <f t="shared" si="6"/>
        <v>0.31389311479323023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1.2555724591729209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0.24508184011937223</v>
      </c>
      <c r="AC30" s="187">
        <f>IF(AC79*4/$I$84+SUM(AC6:AC29)&lt;1,AC79*4/$I$84,1-SUM(AC6:AC29))</f>
        <v>0.30771800869730481</v>
      </c>
      <c r="AD30" s="122">
        <f>IF($Y30=0,0,AE30/($Y$30))</f>
        <v>0.42545180065804006</v>
      </c>
      <c r="AE30" s="187">
        <f>IF(AE79*4/$I$84+SUM(AE6:AE29)&lt;1,AE79*4/$I$84,1-SUM(AE6:AE29))</f>
        <v>0.53418556361176273</v>
      </c>
      <c r="AF30" s="122">
        <f>IF($Y30=0,0,AG30/($Y$30))</f>
        <v>0.32946635922258755</v>
      </c>
      <c r="AG30" s="187">
        <f>IF(AG79*4/$I$84+SUM(AG6:AG29)&lt;1,AG79*4/$I$84,1-SUM(AG6:AG29))</f>
        <v>0.41366888686385317</v>
      </c>
      <c r="AH30" s="123">
        <f t="shared" si="12"/>
        <v>0.99999999999999978</v>
      </c>
      <c r="AI30" s="183">
        <f t="shared" si="13"/>
        <v>0.31389311479323018</v>
      </c>
      <c r="AJ30" s="120">
        <f t="shared" si="14"/>
        <v>0.15385900434865241</v>
      </c>
      <c r="AK30" s="119">
        <f t="shared" si="15"/>
        <v>0.47392722523780795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-4.9347614947117258E-2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6.0287499729538787</v>
      </c>
      <c r="J32" s="17"/>
      <c r="L32" s="22">
        <f>SUM(L6:L30)</f>
        <v>1.0493476149471173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-1.4125548818823849E-2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15104</v>
      </c>
      <c r="J37" s="38">
        <f>J91*I$83</f>
        <v>15104</v>
      </c>
      <c r="K37" s="40">
        <f>(B37/B$65)</f>
        <v>0.186328170490276</v>
      </c>
      <c r="L37" s="22">
        <f t="shared" ref="L37" si="28">(K37*H37)</f>
        <v>0.17589379294282054</v>
      </c>
      <c r="M37" s="24">
        <f>J37/B$65</f>
        <v>0.17589379294282054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15104</v>
      </c>
      <c r="AH37" s="123">
        <f>SUM(Z37,AB37,AD37,AF37)</f>
        <v>1</v>
      </c>
      <c r="AI37" s="112">
        <f>SUM(AA37,AC37,AE37,AG37)</f>
        <v>15104</v>
      </c>
      <c r="AJ37" s="148">
        <f>(AA37+AC37)</f>
        <v>0</v>
      </c>
      <c r="AK37" s="147">
        <f>(AE37+AG37)</f>
        <v>15104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9440</v>
      </c>
      <c r="J38" s="38">
        <f t="shared" ref="J38:J64" si="32">J92*I$83</f>
        <v>5610.6619276601214</v>
      </c>
      <c r="K38" s="40">
        <f t="shared" ref="K38:K64" si="33">(B38/B$65)</f>
        <v>6.9873063933853494E-2</v>
      </c>
      <c r="L38" s="22">
        <f t="shared" ref="L38:L64" si="34">(K38*H38)</f>
        <v>6.5960172353557694E-2</v>
      </c>
      <c r="M38" s="24">
        <f t="shared" ref="M38:M64" si="35">J38/B$65</f>
        <v>6.5339023263772236E-2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5610.6619276601214</v>
      </c>
      <c r="AH38" s="123">
        <f t="shared" ref="AH38:AI58" si="37">SUM(Z38,AB38,AD38,AF38)</f>
        <v>1</v>
      </c>
      <c r="AI38" s="112">
        <f t="shared" si="37"/>
        <v>5610.6619276601214</v>
      </c>
      <c r="AJ38" s="148">
        <f t="shared" ref="AJ38:AJ64" si="38">(AA38+AC38)</f>
        <v>0</v>
      </c>
      <c r="AK38" s="147">
        <f t="shared" ref="AK38:AK64" si="39">(AE38+AG38)</f>
        <v>5610.6619276601214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1510.3999999999999</v>
      </c>
      <c r="J39" s="38">
        <f t="shared" si="32"/>
        <v>1510.3999999999999</v>
      </c>
      <c r="K39" s="40">
        <f t="shared" si="33"/>
        <v>1.8632817049027601E-2</v>
      </c>
      <c r="L39" s="22">
        <f t="shared" si="34"/>
        <v>1.7589379294282056E-2</v>
      </c>
      <c r="M39" s="24">
        <f t="shared" si="35"/>
        <v>1.7589379294282052E-2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0.68944753093390643</v>
      </c>
      <c r="AA39" s="147">
        <f t="shared" ref="AA39:AA64" si="40">$J39*Z39</f>
        <v>1041.3415507225723</v>
      </c>
      <c r="AB39" s="122">
        <f>AB8</f>
        <v>0.31055246906609357</v>
      </c>
      <c r="AC39" s="147">
        <f t="shared" ref="AC39:AC64" si="41">$J39*AB39</f>
        <v>469.05844927742771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1510.4</v>
      </c>
      <c r="AJ39" s="148">
        <f t="shared" si="38"/>
        <v>1510.4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0.68944753093390643</v>
      </c>
      <c r="AA40" s="147">
        <f t="shared" si="40"/>
        <v>1057.6125124526127</v>
      </c>
      <c r="AB40" s="122">
        <f>AB9</f>
        <v>0.31055246906609357</v>
      </c>
      <c r="AC40" s="147">
        <f t="shared" si="41"/>
        <v>476.38748754738759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1534.0000000000002</v>
      </c>
      <c r="AJ40" s="148">
        <f t="shared" si="38"/>
        <v>1534.0000000000002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3714.1334099940605</v>
      </c>
      <c r="K41" s="40">
        <f t="shared" si="33"/>
        <v>2.79492255735414E-2</v>
      </c>
      <c r="L41" s="22">
        <f t="shared" si="34"/>
        <v>4.2650518225224178E-2</v>
      </c>
      <c r="M41" s="24">
        <f t="shared" si="35"/>
        <v>4.3252980202562713E-2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3714.1334099940605</v>
      </c>
      <c r="AH41" s="123">
        <f t="shared" si="37"/>
        <v>1</v>
      </c>
      <c r="AI41" s="112">
        <f t="shared" si="37"/>
        <v>3714.1334099940605</v>
      </c>
      <c r="AJ41" s="148">
        <f t="shared" si="38"/>
        <v>0</v>
      </c>
      <c r="AK41" s="147">
        <f t="shared" si="39"/>
        <v>3714.1334099940605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24150</v>
      </c>
      <c r="J42" s="38">
        <f t="shared" si="32"/>
        <v>24149.999999999996</v>
      </c>
      <c r="K42" s="40">
        <f t="shared" si="33"/>
        <v>0.20088505880982882</v>
      </c>
      <c r="L42" s="22">
        <f t="shared" si="34"/>
        <v>0.28123908233376033</v>
      </c>
      <c r="M42" s="24">
        <f t="shared" si="35"/>
        <v>0.28123908233376027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6037.4999999999991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12074.999999999998</v>
      </c>
      <c r="AF42" s="122">
        <f t="shared" si="29"/>
        <v>0.25</v>
      </c>
      <c r="AG42" s="147">
        <f t="shared" si="36"/>
        <v>6037.4999999999991</v>
      </c>
      <c r="AH42" s="123">
        <f t="shared" si="37"/>
        <v>1</v>
      </c>
      <c r="AI42" s="112">
        <f t="shared" si="37"/>
        <v>24149.999999999996</v>
      </c>
      <c r="AJ42" s="148">
        <f t="shared" si="38"/>
        <v>6037.4999999999991</v>
      </c>
      <c r="AK42" s="147">
        <f t="shared" si="39"/>
        <v>18112.499999999996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3549.4394208658832</v>
      </c>
      <c r="K43" s="40">
        <f t="shared" si="33"/>
        <v>2.9113776639105624E-2</v>
      </c>
      <c r="L43" s="22">
        <f t="shared" si="34"/>
        <v>4.075928729474787E-2</v>
      </c>
      <c r="M43" s="24">
        <f t="shared" si="35"/>
        <v>4.1335034597250297E-2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887.35985521647081</v>
      </c>
      <c r="AB43" s="156">
        <f>Poor!AB43</f>
        <v>0.25</v>
      </c>
      <c r="AC43" s="147">
        <f t="shared" si="41"/>
        <v>887.35985521647081</v>
      </c>
      <c r="AD43" s="156">
        <f>Poor!AD43</f>
        <v>0.25</v>
      </c>
      <c r="AE43" s="147">
        <f t="shared" si="42"/>
        <v>887.35985521647081</v>
      </c>
      <c r="AF43" s="122">
        <f t="shared" si="29"/>
        <v>0.25</v>
      </c>
      <c r="AG43" s="147">
        <f t="shared" si="36"/>
        <v>887.35985521647081</v>
      </c>
      <c r="AH43" s="123">
        <f t="shared" si="37"/>
        <v>1</v>
      </c>
      <c r="AI43" s="112">
        <f t="shared" si="37"/>
        <v>3549.4394208658832</v>
      </c>
      <c r="AJ43" s="148">
        <f t="shared" si="38"/>
        <v>1774.7197104329416</v>
      </c>
      <c r="AK43" s="147">
        <f t="shared" si="39"/>
        <v>1774.7197104329416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1.1100000000000001</v>
      </c>
      <c r="G45" s="75">
        <f>Poor!G45</f>
        <v>1.65</v>
      </c>
      <c r="H45" s="24">
        <f t="shared" si="30"/>
        <v>1.1100000000000001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1.1100000000000001</v>
      </c>
      <c r="G46" s="75">
        <f>Poor!G46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0.8</v>
      </c>
      <c r="F47" s="75">
        <f>Poor!F47</f>
        <v>1.18</v>
      </c>
      <c r="G47" s="75">
        <f>Poor!G47</f>
        <v>1.65</v>
      </c>
      <c r="H47" s="24">
        <f t="shared" si="30"/>
        <v>0.94399999999999995</v>
      </c>
      <c r="I47" s="39">
        <f t="shared" si="31"/>
        <v>18124.8</v>
      </c>
      <c r="J47" s="38">
        <f t="shared" si="32"/>
        <v>18124.8</v>
      </c>
      <c r="K47" s="40">
        <f t="shared" si="33"/>
        <v>0.2235938045883312</v>
      </c>
      <c r="L47" s="22">
        <f t="shared" si="34"/>
        <v>0.21107255153138463</v>
      </c>
      <c r="M47" s="24">
        <f t="shared" si="35"/>
        <v>0.21107255153138466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4531.2</v>
      </c>
      <c r="AB47" s="156">
        <f>Poor!AB47</f>
        <v>0.25</v>
      </c>
      <c r="AC47" s="147">
        <f t="shared" si="41"/>
        <v>4531.2</v>
      </c>
      <c r="AD47" s="156">
        <f>Poor!AD47</f>
        <v>0.25</v>
      </c>
      <c r="AE47" s="147">
        <f t="shared" si="42"/>
        <v>4531.2</v>
      </c>
      <c r="AF47" s="122">
        <f t="shared" si="29"/>
        <v>0.25</v>
      </c>
      <c r="AG47" s="147">
        <f t="shared" si="36"/>
        <v>4531.2</v>
      </c>
      <c r="AH47" s="123">
        <f t="shared" si="37"/>
        <v>1</v>
      </c>
      <c r="AI47" s="112">
        <f t="shared" si="37"/>
        <v>18124.8</v>
      </c>
      <c r="AJ47" s="148">
        <f t="shared" si="38"/>
        <v>9062.4</v>
      </c>
      <c r="AK47" s="147">
        <f t="shared" si="39"/>
        <v>9062.4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8991.6</v>
      </c>
      <c r="J49" s="38">
        <f t="shared" si="32"/>
        <v>8991.6</v>
      </c>
      <c r="K49" s="40">
        <f t="shared" si="33"/>
        <v>8.8738791195993941E-2</v>
      </c>
      <c r="L49" s="22">
        <f t="shared" si="34"/>
        <v>0.10471177361127285</v>
      </c>
      <c r="M49" s="24">
        <f t="shared" si="35"/>
        <v>0.10471177361127286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2247.9</v>
      </c>
      <c r="AB49" s="156">
        <f>Poor!AB49</f>
        <v>0.25</v>
      </c>
      <c r="AC49" s="147">
        <f t="shared" si="41"/>
        <v>2247.9</v>
      </c>
      <c r="AD49" s="156">
        <f>Poor!AD49</f>
        <v>0.25</v>
      </c>
      <c r="AE49" s="147">
        <f t="shared" si="42"/>
        <v>2247.9</v>
      </c>
      <c r="AF49" s="122">
        <f t="shared" si="29"/>
        <v>0.25</v>
      </c>
      <c r="AG49" s="147">
        <f t="shared" si="36"/>
        <v>2247.9</v>
      </c>
      <c r="AH49" s="123">
        <f t="shared" si="37"/>
        <v>1</v>
      </c>
      <c r="AI49" s="112">
        <f t="shared" si="37"/>
        <v>8991.6</v>
      </c>
      <c r="AJ49" s="148">
        <f t="shared" si="38"/>
        <v>4495.8</v>
      </c>
      <c r="AK49" s="147">
        <f t="shared" si="39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0</v>
      </c>
      <c r="F50" s="75">
        <f>Poor!F50</f>
        <v>1.18</v>
      </c>
      <c r="G50" s="75">
        <f>Poor!G50</f>
        <v>1.65</v>
      </c>
      <c r="H50" s="24">
        <f t="shared" si="30"/>
        <v>0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92174.8</v>
      </c>
      <c r="J65" s="39">
        <f>SUM(J37:J64)</f>
        <v>95609.034758520065</v>
      </c>
      <c r="K65" s="40">
        <f>SUM(K37:K64)</f>
        <v>1</v>
      </c>
      <c r="L65" s="22">
        <f>SUM(L37:L64)</f>
        <v>1.1128589728659601</v>
      </c>
      <c r="M65" s="24">
        <f>SUM(M37:M64)</f>
        <v>1.1134160330560154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19132.913918391656</v>
      </c>
      <c r="AB65" s="137"/>
      <c r="AC65" s="153">
        <f>SUM(AC37:AC64)</f>
        <v>11941.905792041285</v>
      </c>
      <c r="AD65" s="137"/>
      <c r="AE65" s="153">
        <f>SUM(AE37:AE64)</f>
        <v>23071.459855216472</v>
      </c>
      <c r="AF65" s="137"/>
      <c r="AG65" s="153">
        <f>SUM(AG37:AG64)</f>
        <v>41462.755192870653</v>
      </c>
      <c r="AH65" s="137"/>
      <c r="AI65" s="153">
        <f>SUM(AI37:AI64)</f>
        <v>95609.034758520065</v>
      </c>
      <c r="AJ65" s="153">
        <f>SUM(AJ37:AJ64)</f>
        <v>31074.819710432941</v>
      </c>
      <c r="AK65" s="153">
        <f>SUM(AK37:AK64)</f>
        <v>64534.215048087121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</v>
      </c>
      <c r="K72" s="40">
        <f t="shared" si="47"/>
        <v>0.28270641667637125</v>
      </c>
      <c r="L72" s="22">
        <f t="shared" si="45"/>
        <v>0.33359357167811815</v>
      </c>
      <c r="M72" s="24">
        <f t="shared" si="48"/>
        <v>0.33359357167811809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25251.999999999996</v>
      </c>
      <c r="K73" s="40">
        <f>B73/B$76</f>
        <v>0.24921392803074416</v>
      </c>
      <c r="L73" s="22">
        <f t="shared" si="45"/>
        <v>0.29407243507627806</v>
      </c>
      <c r="M73" s="24">
        <f>J73/B$76</f>
        <v>0.29407243507627806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73878.398147920743</v>
      </c>
      <c r="J74" s="51">
        <f t="shared" si="44"/>
        <v>5334.423708654137</v>
      </c>
      <c r="K74" s="40">
        <f>B74/B$76</f>
        <v>6.514985729326056E-2</v>
      </c>
      <c r="L74" s="22">
        <f t="shared" si="45"/>
        <v>6.9144390692869442E-2</v>
      </c>
      <c r="M74" s="24">
        <f>J74/B$76</f>
        <v>6.2122088140842399E-2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2421.2200003831626</v>
      </c>
      <c r="AD74" s="156"/>
      <c r="AE74" s="147">
        <f>AE30*$I$84/4</f>
        <v>4203.1364235332139</v>
      </c>
      <c r="AF74" s="156"/>
      <c r="AG74" s="147">
        <f>AG30*$I$84/4</f>
        <v>3254.8741188437748</v>
      </c>
      <c r="AH74" s="155"/>
      <c r="AI74" s="147">
        <f>SUM(AA74,AC74,AE74,AG74)</f>
        <v>9879.2305427601514</v>
      </c>
      <c r="AJ74" s="148">
        <f>(AA74+AC74)</f>
        <v>2421.2200003831626</v>
      </c>
      <c r="AK74" s="147">
        <f>(AE74+AG74)</f>
        <v>7458.0105423769892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1995.555864453348</v>
      </c>
      <c r="K75" s="40">
        <f>B75/B$76</f>
        <v>9.1992429895463829E-2</v>
      </c>
      <c r="L75" s="22">
        <f t="shared" si="45"/>
        <v>1.5659904341338206E-2</v>
      </c>
      <c r="M75" s="24">
        <f>J75/B$76</f>
        <v>2.3239267083420844E-2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47694.399162928399</v>
      </c>
      <c r="AB75" s="158"/>
      <c r="AC75" s="149">
        <f>AA75+AC65-SUM(AC70,AC74)</f>
        <v>52640.984491566713</v>
      </c>
      <c r="AD75" s="158"/>
      <c r="AE75" s="149">
        <f>AC75+AE65-SUM(AE70,AE74)</f>
        <v>66935.207460230158</v>
      </c>
      <c r="AF75" s="158"/>
      <c r="AG75" s="149">
        <f>IF(SUM(AG6:AG29)+((AG65-AG70-$J$75)*4/I$83)&lt;1,0,AG65-AG70-$J$75-(1-SUM(AG6:AG29))*I$83/4)</f>
        <v>33135.585707556558</v>
      </c>
      <c r="AH75" s="134"/>
      <c r="AI75" s="149">
        <f>AI76-SUM(AI70,AI74)</f>
        <v>67433.402363680652</v>
      </c>
      <c r="AJ75" s="151">
        <f>AJ76-SUM(AJ70,AJ74)</f>
        <v>19505.398784010147</v>
      </c>
      <c r="AK75" s="149">
        <f>AJ75+AK76-SUM(AK70,AK74)</f>
        <v>67433.402363680652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92174.8</v>
      </c>
      <c r="J76" s="51">
        <f t="shared" si="44"/>
        <v>95609.03475852008</v>
      </c>
      <c r="K76" s="40">
        <f>SUM(K70:K75)</f>
        <v>0.99999999999999989</v>
      </c>
      <c r="L76" s="22">
        <f>SUM(L70:L75)</f>
        <v>1.1128589728659601</v>
      </c>
      <c r="M76" s="24">
        <f>SUM(M70:M75)</f>
        <v>1.1134160330560159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19132.913918391656</v>
      </c>
      <c r="AB76" s="137"/>
      <c r="AC76" s="153">
        <f>AC65</f>
        <v>11941.905792041285</v>
      </c>
      <c r="AD76" s="137"/>
      <c r="AE76" s="153">
        <f>AE65</f>
        <v>23071.459855216472</v>
      </c>
      <c r="AF76" s="137"/>
      <c r="AG76" s="153">
        <f>AG65</f>
        <v>41462.755192870653</v>
      </c>
      <c r="AH76" s="137"/>
      <c r="AI76" s="153">
        <f>SUM(AA76,AC76,AE76,AG76)</f>
        <v>95609.034758520065</v>
      </c>
      <c r="AJ76" s="154">
        <f>SUM(AA76,AC76)</f>
        <v>31074.819710432941</v>
      </c>
      <c r="AK76" s="154">
        <f>SUM(AE76,AG76)</f>
        <v>64534.215048087121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33135.585707556558</v>
      </c>
      <c r="AB78" s="112"/>
      <c r="AC78" s="112">
        <f>IF(AA75&lt;0,0,AA75)</f>
        <v>47694.399162928399</v>
      </c>
      <c r="AD78" s="112"/>
      <c r="AE78" s="112">
        <f>AC75</f>
        <v>52640.984491566713</v>
      </c>
      <c r="AF78" s="112"/>
      <c r="AG78" s="112">
        <f>AE75</f>
        <v>66935.207460230158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47694.399162928399</v>
      </c>
      <c r="AB79" s="112"/>
      <c r="AC79" s="112">
        <f>AA79-AA74+AC65-AC70</f>
        <v>55062.204491949873</v>
      </c>
      <c r="AD79" s="112"/>
      <c r="AE79" s="112">
        <f>AC79-AC74+AE65-AE70</f>
        <v>71138.343883763373</v>
      </c>
      <c r="AF79" s="112"/>
      <c r="AG79" s="112">
        <f>AE79-AE74+AG65-AG70</f>
        <v>103823.862190081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0.57212121212121214</v>
      </c>
      <c r="I91" s="22">
        <f t="shared" ref="I91" si="52">(D91*H91)</f>
        <v>0.88876359748954081</v>
      </c>
      <c r="J91" s="24">
        <f>IF(I$32&lt;=1+I$131,I91,L91+J$33*(I91-L91))</f>
        <v>0.88876359748954081</v>
      </c>
      <c r="K91" s="22">
        <f t="shared" ref="K91" si="53">(B91)</f>
        <v>1.5534533218832016</v>
      </c>
      <c r="L91" s="22">
        <f t="shared" ref="L91" si="54">(K91*H91)</f>
        <v>0.88876359748954081</v>
      </c>
      <c r="M91" s="226">
        <f t="shared" si="49"/>
        <v>0.88876359748954081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0.57212121212121214</v>
      </c>
      <c r="I92" s="22">
        <f t="shared" ref="I92:I118" si="58">(D92*H92)</f>
        <v>0.55547724843096302</v>
      </c>
      <c r="J92" s="24">
        <f t="shared" ref="J92:J118" si="59">IF(I$32&lt;=1+I$131,I92,L92+J$33*(I92-L92))</f>
        <v>0.33014778066239481</v>
      </c>
      <c r="K92" s="22">
        <f t="shared" ref="K92:K118" si="60">(B92)</f>
        <v>0.58254499570620055</v>
      </c>
      <c r="L92" s="22">
        <f t="shared" ref="L92:L118" si="61">(K92*H92)</f>
        <v>0.33328634905857779</v>
      </c>
      <c r="M92" s="226">
        <f t="shared" ref="M92:M118" si="62">(J92)</f>
        <v>0.33014778066239481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0.57212121212121214</v>
      </c>
      <c r="I93" s="22">
        <f t="shared" si="58"/>
        <v>8.8876359748954081E-2</v>
      </c>
      <c r="J93" s="24">
        <f t="shared" si="59"/>
        <v>8.8876359748954081E-2</v>
      </c>
      <c r="K93" s="22">
        <f t="shared" si="60"/>
        <v>0.15534533218832017</v>
      </c>
      <c r="L93" s="22">
        <f t="shared" si="61"/>
        <v>8.8876359748954081E-2</v>
      </c>
      <c r="M93" s="226">
        <f t="shared" si="62"/>
        <v>8.8876359748954081E-2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6">
        <f t="shared" si="62"/>
        <v>9.0265052870031504E-2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0.21855048801790367</v>
      </c>
      <c r="K95" s="22">
        <f t="shared" si="60"/>
        <v>0.23301799828248024</v>
      </c>
      <c r="L95" s="22">
        <f t="shared" si="61"/>
        <v>0.21550634265397872</v>
      </c>
      <c r="M95" s="226">
        <f t="shared" si="62"/>
        <v>0.21855048801790367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0.84848484848484851</v>
      </c>
      <c r="I96" s="22">
        <f t="shared" si="58"/>
        <v>1.4210567319499741</v>
      </c>
      <c r="J96" s="24">
        <f t="shared" si="59"/>
        <v>1.4210567319499741</v>
      </c>
      <c r="K96" s="22">
        <f t="shared" si="60"/>
        <v>1.6748168626553266</v>
      </c>
      <c r="L96" s="22">
        <f t="shared" si="61"/>
        <v>1.4210567319499741</v>
      </c>
      <c r="M96" s="226">
        <f t="shared" si="62"/>
        <v>1.4210567319499741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0.20885941133209446</v>
      </c>
      <c r="K97" s="22">
        <f t="shared" si="60"/>
        <v>0.24272708154425024</v>
      </c>
      <c r="L97" s="22">
        <f t="shared" si="61"/>
        <v>0.20595025100724262</v>
      </c>
      <c r="M97" s="226">
        <f t="shared" si="62"/>
        <v>0.20885941133209446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0.67272727272727284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0.57212121212121214</v>
      </c>
      <c r="I101" s="22">
        <f t="shared" si="58"/>
        <v>1.066516316987449</v>
      </c>
      <c r="J101" s="24">
        <f t="shared" si="59"/>
        <v>1.066516316987449</v>
      </c>
      <c r="K101" s="22">
        <f t="shared" si="60"/>
        <v>1.8641439862598419</v>
      </c>
      <c r="L101" s="22">
        <f t="shared" si="61"/>
        <v>1.066516316987449</v>
      </c>
      <c r="M101" s="226">
        <f t="shared" si="62"/>
        <v>1.066516316987449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0.7151515151515152</v>
      </c>
      <c r="I103" s="22">
        <f t="shared" si="58"/>
        <v>0.52909207913049228</v>
      </c>
      <c r="J103" s="24">
        <f t="shared" si="59"/>
        <v>0.52909207913049228</v>
      </c>
      <c r="K103" s="22">
        <f t="shared" si="60"/>
        <v>0.73983214454687474</v>
      </c>
      <c r="L103" s="22">
        <f t="shared" si="61"/>
        <v>0.52909207913049228</v>
      </c>
      <c r="M103" s="226">
        <f t="shared" si="62"/>
        <v>0.52909207913049228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6">
        <f t="shared" si="62"/>
        <v>0.7837878124047063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5.4238351990121112</v>
      </c>
      <c r="J119" s="24">
        <f>SUM(J91:J118)</f>
        <v>5.6259156305935418</v>
      </c>
      <c r="K119" s="22">
        <f>SUM(K91:K118)</f>
        <v>8.3371897968819066</v>
      </c>
      <c r="L119" s="22">
        <f>SUM(L91:L118)</f>
        <v>5.6231008933009479</v>
      </c>
      <c r="M119" s="57">
        <f t="shared" si="49"/>
        <v>5.6259156305935418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6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65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1.4859016395528259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1.4859016395528259</v>
      </c>
      <c r="M127" s="57">
        <f t="shared" si="63"/>
        <v>1.4859016395528259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4.3472213264506534</v>
      </c>
      <c r="J128" s="227">
        <f>(J30)</f>
        <v>0.31389311479323023</v>
      </c>
      <c r="K128" s="22">
        <f>(B128)</f>
        <v>0.54316672549368428</v>
      </c>
      <c r="L128" s="22">
        <f>IF(L124=L119,0,(L119-L124)/(B119-B124)*K128)</f>
        <v>0.34937570217951963</v>
      </c>
      <c r="M128" s="57">
        <f t="shared" si="63"/>
        <v>0.31389311479323023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0.11742435176661203</v>
      </c>
      <c r="K129" s="29">
        <f>(B129)</f>
        <v>0.76695834791483519</v>
      </c>
      <c r="L129" s="60">
        <f>IF(SUM(L124:L128)&gt;L130,0,L130-SUM(L124:L128))</f>
        <v>7.912702708772823E-2</v>
      </c>
      <c r="M129" s="57">
        <f t="shared" si="63"/>
        <v>0.11742435176661203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5.4238351990121112</v>
      </c>
      <c r="J130" s="227">
        <f>(J119)</f>
        <v>5.6259156305935418</v>
      </c>
      <c r="K130" s="22">
        <f>(B130)</f>
        <v>8.3371897968819066</v>
      </c>
      <c r="L130" s="22">
        <f>(L119)</f>
        <v>5.6231008933009479</v>
      </c>
      <c r="M130" s="57">
        <f t="shared" si="63"/>
        <v>5.6259156305935418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64" operator="equal">
      <formula>16</formula>
    </cfRule>
    <cfRule type="cellIs" dxfId="244" priority="165" operator="equal">
      <formula>15</formula>
    </cfRule>
    <cfRule type="cellIs" dxfId="243" priority="166" operator="equal">
      <formula>14</formula>
    </cfRule>
    <cfRule type="cellIs" dxfId="242" priority="167" operator="equal">
      <formula>13</formula>
    </cfRule>
    <cfRule type="cellIs" dxfId="241" priority="168" operator="equal">
      <formula>12</formula>
    </cfRule>
    <cfRule type="cellIs" dxfId="240" priority="169" operator="equal">
      <formula>11</formula>
    </cfRule>
    <cfRule type="cellIs" dxfId="239" priority="170" operator="equal">
      <formula>10</formula>
    </cfRule>
    <cfRule type="cellIs" dxfId="238" priority="171" operator="equal">
      <formula>9</formula>
    </cfRule>
    <cfRule type="cellIs" dxfId="237" priority="172" operator="equal">
      <formula>8</formula>
    </cfRule>
    <cfRule type="cellIs" dxfId="236" priority="173" operator="equal">
      <formula>7</formula>
    </cfRule>
    <cfRule type="cellIs" dxfId="235" priority="174" operator="equal">
      <formula>6</formula>
    </cfRule>
    <cfRule type="cellIs" dxfId="234" priority="175" operator="equal">
      <formula>5</formula>
    </cfRule>
    <cfRule type="cellIs" dxfId="233" priority="176" operator="equal">
      <formula>4</formula>
    </cfRule>
    <cfRule type="cellIs" dxfId="232" priority="177" operator="equal">
      <formula>3</formula>
    </cfRule>
    <cfRule type="cellIs" dxfId="231" priority="178" operator="equal">
      <formula>2</formula>
    </cfRule>
    <cfRule type="cellIs" dxfId="230" priority="179" operator="equal">
      <formula>1</formula>
    </cfRule>
  </conditionalFormatting>
  <conditionalFormatting sqref="N29">
    <cfRule type="cellIs" dxfId="229" priority="148" operator="equal">
      <formula>16</formula>
    </cfRule>
    <cfRule type="cellIs" dxfId="228" priority="149" operator="equal">
      <formula>15</formula>
    </cfRule>
    <cfRule type="cellIs" dxfId="227" priority="150" operator="equal">
      <formula>14</formula>
    </cfRule>
    <cfRule type="cellIs" dxfId="226" priority="151" operator="equal">
      <formula>13</formula>
    </cfRule>
    <cfRule type="cellIs" dxfId="225" priority="152" operator="equal">
      <formula>12</formula>
    </cfRule>
    <cfRule type="cellIs" dxfId="224" priority="153" operator="equal">
      <formula>11</formula>
    </cfRule>
    <cfRule type="cellIs" dxfId="223" priority="154" operator="equal">
      <formula>10</formula>
    </cfRule>
    <cfRule type="cellIs" dxfId="222" priority="155" operator="equal">
      <formula>9</formula>
    </cfRule>
    <cfRule type="cellIs" dxfId="221" priority="156" operator="equal">
      <formula>8</formula>
    </cfRule>
    <cfRule type="cellIs" dxfId="220" priority="157" operator="equal">
      <formula>7</formula>
    </cfRule>
    <cfRule type="cellIs" dxfId="219" priority="158" operator="equal">
      <formula>6</formula>
    </cfRule>
    <cfRule type="cellIs" dxfId="218" priority="159" operator="equal">
      <formula>5</formula>
    </cfRule>
    <cfRule type="cellIs" dxfId="217" priority="160" operator="equal">
      <formula>4</formula>
    </cfRule>
    <cfRule type="cellIs" dxfId="216" priority="161" operator="equal">
      <formula>3</formula>
    </cfRule>
    <cfRule type="cellIs" dxfId="215" priority="162" operator="equal">
      <formula>2</formula>
    </cfRule>
    <cfRule type="cellIs" dxfId="214" priority="163" operator="equal">
      <formula>1</formula>
    </cfRule>
  </conditionalFormatting>
  <conditionalFormatting sqref="N113:N11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N27:N28">
    <cfRule type="cellIs" dxfId="197" priority="84" operator="equal">
      <formula>16</formula>
    </cfRule>
    <cfRule type="cellIs" dxfId="196" priority="85" operator="equal">
      <formula>15</formula>
    </cfRule>
    <cfRule type="cellIs" dxfId="195" priority="86" operator="equal">
      <formula>14</formula>
    </cfRule>
    <cfRule type="cellIs" dxfId="194" priority="87" operator="equal">
      <formula>13</formula>
    </cfRule>
    <cfRule type="cellIs" dxfId="193" priority="88" operator="equal">
      <formula>12</formula>
    </cfRule>
    <cfRule type="cellIs" dxfId="192" priority="89" operator="equal">
      <formula>11</formula>
    </cfRule>
    <cfRule type="cellIs" dxfId="191" priority="90" operator="equal">
      <formula>10</formula>
    </cfRule>
    <cfRule type="cellIs" dxfId="190" priority="91" operator="equal">
      <formula>9</formula>
    </cfRule>
    <cfRule type="cellIs" dxfId="189" priority="92" operator="equal">
      <formula>8</formula>
    </cfRule>
    <cfRule type="cellIs" dxfId="188" priority="93" operator="equal">
      <formula>7</formula>
    </cfRule>
    <cfRule type="cellIs" dxfId="187" priority="94" operator="equal">
      <formula>6</formula>
    </cfRule>
    <cfRule type="cellIs" dxfId="186" priority="95" operator="equal">
      <formula>5</formula>
    </cfRule>
    <cfRule type="cellIs" dxfId="185" priority="96" operator="equal">
      <formula>4</formula>
    </cfRule>
    <cfRule type="cellIs" dxfId="184" priority="97" operator="equal">
      <formula>3</formula>
    </cfRule>
    <cfRule type="cellIs" dxfId="183" priority="98" operator="equal">
      <formula>2</formula>
    </cfRule>
    <cfRule type="cellIs" dxfId="182" priority="99" operator="equal">
      <formula>1</formula>
    </cfRule>
  </conditionalFormatting>
  <conditionalFormatting sqref="N112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4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05:N111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N6:N26">
    <cfRule type="cellIs" dxfId="133" priority="4" operator="equal">
      <formula>16</formula>
    </cfRule>
    <cfRule type="cellIs" dxfId="132" priority="5" operator="equal">
      <formula>15</formula>
    </cfRule>
    <cfRule type="cellIs" dxfId="131" priority="6" operator="equal">
      <formula>14</formula>
    </cfRule>
    <cfRule type="cellIs" dxfId="130" priority="7" operator="equal">
      <formula>13</formula>
    </cfRule>
    <cfRule type="cellIs" dxfId="129" priority="8" operator="equal">
      <formula>12</formula>
    </cfRule>
    <cfRule type="cellIs" dxfId="128" priority="9" operator="equal">
      <formula>11</formula>
    </cfRule>
    <cfRule type="cellIs" dxfId="127" priority="10" operator="equal">
      <formula>10</formula>
    </cfRule>
    <cfRule type="cellIs" dxfId="126" priority="11" operator="equal">
      <formula>9</formula>
    </cfRule>
    <cfRule type="cellIs" dxfId="125" priority="12" operator="equal">
      <formula>8</formula>
    </cfRule>
    <cfRule type="cellIs" dxfId="124" priority="13" operator="equal">
      <formula>7</formula>
    </cfRule>
    <cfRule type="cellIs" dxfId="123" priority="14" operator="equal">
      <formula>6</formula>
    </cfRule>
    <cfRule type="cellIs" dxfId="122" priority="15" operator="equal">
      <formula>5</formula>
    </cfRule>
    <cfRule type="cellIs" dxfId="121" priority="16" operator="equal">
      <formula>4</formula>
    </cfRule>
    <cfRule type="cellIs" dxfId="120" priority="17" operator="equal">
      <formula>3</formula>
    </cfRule>
    <cfRule type="cellIs" dxfId="119" priority="18" operator="equal">
      <formula>2</formula>
    </cfRule>
    <cfRule type="cellIs" dxfId="118" priority="19" operator="equal">
      <formula>1</formula>
    </cfRule>
  </conditionalFormatting>
  <conditionalFormatting sqref="R31:T31">
    <cfRule type="cellIs" dxfId="117" priority="3" operator="greaterThan">
      <formula>0</formula>
    </cfRule>
  </conditionalFormatting>
  <conditionalFormatting sqref="R32:T32">
    <cfRule type="cellIs" dxfId="116" priority="2" operator="greaterThan">
      <formula>0</formula>
    </cfRule>
  </conditionalFormatting>
  <conditionalFormatting sqref="R30:T30">
    <cfRule type="cellIs" dxfId="11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4.2240037359900375E-2</v>
      </c>
      <c r="J6" s="24">
        <f t="shared" ref="J6:J13" si="3">IF(I$32&lt;=1+I$131,I6,B6*H6+J$33*(I6-B6*H6))</f>
        <v>4.2240037359900375E-2</v>
      </c>
      <c r="K6" s="22">
        <f t="shared" ref="K6:K31" si="4">B6</f>
        <v>8.4480074719800749E-2</v>
      </c>
      <c r="L6" s="22">
        <f t="shared" ref="L6:L29" si="5">IF(K6="","",K6*H6)</f>
        <v>4.2240037359900375E-2</v>
      </c>
      <c r="M6" s="177">
        <f t="shared" ref="M6:M31" si="6">J6</f>
        <v>4.2240037359900375E-2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0.1689601494396015</v>
      </c>
      <c r="Z6" s="156">
        <f>Poor!Z6</f>
        <v>0.17</v>
      </c>
      <c r="AA6" s="121">
        <f>$M6*Z6*4</f>
        <v>2.8723225404732256E-2</v>
      </c>
      <c r="AB6" s="156">
        <f>Poor!AB6</f>
        <v>0.17</v>
      </c>
      <c r="AC6" s="121">
        <f t="shared" ref="AC6:AC29" si="7">$M6*AB6*4</f>
        <v>2.8723225404732256E-2</v>
      </c>
      <c r="AD6" s="156">
        <f>Poor!AD6</f>
        <v>0.33</v>
      </c>
      <c r="AE6" s="121">
        <f t="shared" ref="AE6:AE29" si="8">$M6*AD6*4</f>
        <v>5.5756849315068496E-2</v>
      </c>
      <c r="AF6" s="122">
        <f>1-SUM(Z6,AB6,AD6)</f>
        <v>0.32999999999999996</v>
      </c>
      <c r="AG6" s="121">
        <f>$M6*AF6*4</f>
        <v>5.5756849315068489E-2</v>
      </c>
      <c r="AH6" s="123">
        <f>SUM(Z6,AB6,AD6,AF6)</f>
        <v>1</v>
      </c>
      <c r="AI6" s="183">
        <f>SUM(AA6,AC6,AE6,AG6)/4</f>
        <v>4.2240037359900375E-2</v>
      </c>
      <c r="AJ6" s="120">
        <f>(AA6+AC6)/2</f>
        <v>2.8723225404732256E-2</v>
      </c>
      <c r="AK6" s="119">
        <f>(AE6+AG6)/2</f>
        <v>5.5756849315068496E-2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4.4082298412204235E-2</v>
      </c>
      <c r="J7" s="24">
        <f t="shared" si="3"/>
        <v>4.4082298412204235E-2</v>
      </c>
      <c r="K7" s="22">
        <f t="shared" si="4"/>
        <v>8.816459682440847E-2</v>
      </c>
      <c r="L7" s="22">
        <f t="shared" si="5"/>
        <v>4.4082298412204235E-2</v>
      </c>
      <c r="M7" s="177">
        <f t="shared" si="6"/>
        <v>4.4082298412204235E-2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2609.8430257697223</v>
      </c>
      <c r="S7" s="221">
        <f>IF($B$81=0,0,(SUMIF($N$6:$N$28,$U7,L$6:L$28)+SUMIF($N$91:$N$118,$U7,L$91:L$118))*$I$83*Poor!$B$81/$B$81)</f>
        <v>2984.1554659052463</v>
      </c>
      <c r="T7" s="221">
        <f>IF($B$81=0,0,(SUMIF($N$6:$N$28,$U7,M$6:M$28)+SUMIF($N$91:$N$118,$U7,M$91:M$118))*$I$83*Poor!$B$81/$B$81)</f>
        <v>2911.7833146536182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0.17632919364881694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0.17632919364881694</v>
      </c>
      <c r="AH7" s="123">
        <f t="shared" ref="AH7:AH30" si="12">SUM(Z7,AB7,AD7,AF7)</f>
        <v>1</v>
      </c>
      <c r="AI7" s="183">
        <f t="shared" ref="AI7:AI30" si="13">SUM(AA7,AC7,AE7,AG7)/4</f>
        <v>4.4082298412204235E-2</v>
      </c>
      <c r="AJ7" s="120">
        <f t="shared" ref="AJ7:AJ31" si="14">(AA7+AC7)/2</f>
        <v>0</v>
      </c>
      <c r="AK7" s="119">
        <f t="shared" ref="AK7:AK31" si="15">(AE7+AG7)/2</f>
        <v>8.816459682440847E-2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1.0900000000000001</v>
      </c>
      <c r="F8" s="22" t="s">
        <v>23</v>
      </c>
      <c r="H8" s="24">
        <f t="shared" si="1"/>
        <v>1.0900000000000001</v>
      </c>
      <c r="I8" s="22">
        <f t="shared" si="2"/>
        <v>1.0315013424657533</v>
      </c>
      <c r="J8" s="24">
        <f t="shared" si="3"/>
        <v>6.0957271673590024E-2</v>
      </c>
      <c r="K8" s="22">
        <f t="shared" si="4"/>
        <v>5.9145719178082187E-2</v>
      </c>
      <c r="L8" s="22">
        <f t="shared" si="5"/>
        <v>6.4468833904109582E-2</v>
      </c>
      <c r="M8" s="223">
        <f t="shared" si="6"/>
        <v>6.0957271673590024E-2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14996.068386836114</v>
      </c>
      <c r="S8" s="221">
        <f>IF($B$81=0,0,(SUMIF($N$6:$N$28,$U8,L$6:L$28)+SUMIF($N$91:$N$118,$U8,L$91:L$118))*$I$83*Poor!$B$81/$B$81)</f>
        <v>14498.399999999998</v>
      </c>
      <c r="T8" s="221">
        <f>IF($B$81=0,0,(SUMIF($N$6:$N$28,$U8,M$6:M$28)+SUMIF($N$91:$N$118,$U8,M$91:M$118))*$I$83*Poor!$B$81/$B$81)</f>
        <v>14520.544975393279</v>
      </c>
      <c r="U8" s="222">
        <v>2</v>
      </c>
      <c r="V8" s="56"/>
      <c r="W8" s="115"/>
      <c r="X8" s="118">
        <f>Poor!X8</f>
        <v>1</v>
      </c>
      <c r="Y8" s="183">
        <f t="shared" si="9"/>
        <v>0.2438290866943601</v>
      </c>
      <c r="Z8" s="125">
        <f>IF($Y8=0,0,AA8/$Y8)</f>
        <v>0.78311680899087655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0.19094665631124708</v>
      </c>
      <c r="AB8" s="125">
        <f>IF($Y8=0,0,AC8/$Y8)</f>
        <v>0.21688319100912345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5.2882430383113022E-2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6.0957271673590024E-2</v>
      </c>
      <c r="AJ8" s="120">
        <f t="shared" si="14"/>
        <v>0.12191454334718005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5.523525840597758E-2</v>
      </c>
      <c r="J9" s="24">
        <f t="shared" si="3"/>
        <v>5.523525840597758E-2</v>
      </c>
      <c r="K9" s="22">
        <f t="shared" si="4"/>
        <v>5.523525840597758E-2</v>
      </c>
      <c r="L9" s="22">
        <f t="shared" si="5"/>
        <v>5.523525840597758E-2</v>
      </c>
      <c r="M9" s="223">
        <f t="shared" si="6"/>
        <v>5.523525840597758E-2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3037.7832928629437</v>
      </c>
      <c r="S9" s="221">
        <f>IF($B$81=0,0,(SUMIF($N$6:$N$28,$U9,L$6:L$28)+SUMIF($N$91:$N$118,$U9,L$91:L$118))*$I$83*Poor!$B$81/$B$81)</f>
        <v>1676.5667504638079</v>
      </c>
      <c r="T9" s="221">
        <f>IF($B$81=0,0,(SUMIF($N$6:$N$28,$U9,M$6:M$28)+SUMIF($N$91:$N$118,$U9,M$91:M$118))*$I$83*Poor!$B$81/$B$81)</f>
        <v>1676.5667504638079</v>
      </c>
      <c r="U9" s="222">
        <v>3</v>
      </c>
      <c r="V9" s="56"/>
      <c r="W9" s="115"/>
      <c r="X9" s="118">
        <f>Poor!X9</f>
        <v>1</v>
      </c>
      <c r="Y9" s="183">
        <f t="shared" si="9"/>
        <v>0.22094103362391032</v>
      </c>
      <c r="Z9" s="125">
        <f>IF($Y9=0,0,AA9/$Y9)</f>
        <v>0.78311680899087655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0.17302263722670261</v>
      </c>
      <c r="AB9" s="125">
        <f>IF($Y9=0,0,AC9/$Y9)</f>
        <v>0.21688319100912348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4.7918396397207713E-2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5.523525840597758E-2</v>
      </c>
      <c r="AJ9" s="120">
        <f t="shared" si="14"/>
        <v>0.11047051681195516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1</v>
      </c>
      <c r="H10" s="24">
        <f t="shared" si="1"/>
        <v>1</v>
      </c>
      <c r="I10" s="22">
        <f t="shared" si="2"/>
        <v>9.3068966376089649E-2</v>
      </c>
      <c r="J10" s="24">
        <f t="shared" si="3"/>
        <v>3.3728096053335807E-2</v>
      </c>
      <c r="K10" s="22">
        <f t="shared" si="4"/>
        <v>3.3942799501867994E-2</v>
      </c>
      <c r="L10" s="22">
        <f t="shared" si="5"/>
        <v>3.3942799501867994E-2</v>
      </c>
      <c r="M10" s="223">
        <f t="shared" si="6"/>
        <v>3.3728096053335807E-2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0.13491238421334323</v>
      </c>
      <c r="Z10" s="125">
        <f>IF($Y10=0,0,AA10/$Y10)</f>
        <v>0.78311680899087655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0.10565215581850446</v>
      </c>
      <c r="AB10" s="125">
        <f>IF($Y10=0,0,AC10/$Y10)</f>
        <v>0.21688319100912345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2.9260228394838772E-2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3.3728096053335807E-2</v>
      </c>
      <c r="AJ10" s="120">
        <f t="shared" si="14"/>
        <v>6.7456192106671614E-2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48955.466474170928</v>
      </c>
      <c r="S11" s="221">
        <f>IF($B$81=0,0,(SUMIF($N$6:$N$28,$U11,L$6:L$28)+SUMIF($N$91:$N$118,$U11,L$91:L$118))*$I$83*Poor!$B$81/$B$81)</f>
        <v>30915.999999999993</v>
      </c>
      <c r="T11" s="221">
        <f>IF($B$81=0,0,(SUMIF($N$6:$N$28,$U11,M$6:M$28)+SUMIF($N$91:$N$118,$U11,M$91:M$118))*$I$83*Poor!$B$81/$B$81)</f>
        <v>30907.43018792992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113008.64932663579</v>
      </c>
      <c r="S14" s="221">
        <f>IF($B$81=0,0,(SUMIF($N$6:$N$28,$U14,L$6:L$28)+SUMIF($N$91:$N$118,$U14,L$91:L$118))*$I$83*Poor!$B$81/$B$81)</f>
        <v>71366.399999999994</v>
      </c>
      <c r="T14" s="221">
        <f>IF($B$81=0,0,(SUMIF($N$6:$N$28,$U14,M$6:M$28)+SUMIF($N$91:$N$118,$U14,M$91:M$118))*$I$83*Poor!$B$81/$B$81)</f>
        <v>71366.399999999994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93725.427417725718</v>
      </c>
      <c r="S17" s="221">
        <f>IF($B$81=0,0,(SUMIF($N$6:$N$28,$U17,L$6:L$28)+SUMIF($N$91:$N$118,$U17,L$91:L$118))*$I$83*Poor!$B$81/$B$81)</f>
        <v>59188.800000000003</v>
      </c>
      <c r="T17" s="221">
        <f>IF($B$81=0,0,(SUMIF($N$6:$N$28,$U17,M$6:M$28)+SUMIF($N$91:$N$118,$U17,M$91:M$118))*$I$83*Poor!$B$81/$B$81)</f>
        <v>59188.800000000003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11390.554336891068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38925.201434730108</v>
      </c>
      <c r="S21" s="221">
        <f>IF($B$81=0,0,(SUMIF($N$6:$N$28,$U21,L$6:L$28)+SUMIF($N$91:$N$118,$U21,L$91:L$118))*$I$83*Poor!$B$81/$B$81)</f>
        <v>27030.000000000004</v>
      </c>
      <c r="T21" s="221">
        <f>IF($B$81=0,0,(SUMIF($N$6:$N$28,$U21,M$6:M$28)+SUMIF($N$91:$N$118,$U21,M$91:M$118))*$I$83*Poor!$B$81/$B$81)</f>
        <v>27030.000000000004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326648.99369562237</v>
      </c>
      <c r="S23" s="179">
        <f>SUM(S7:S22)</f>
        <v>216651.92221636904</v>
      </c>
      <c r="T23" s="179">
        <f>SUM(T7:T22)</f>
        <v>216593.12522844065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3.3261499734480088E-2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3.3261499734480088E-2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0.13304599893792035</v>
      </c>
      <c r="Z27" s="156">
        <f>Poor!Z27</f>
        <v>0.25</v>
      </c>
      <c r="AA27" s="121">
        <f t="shared" si="16"/>
        <v>3.3261499734480088E-2</v>
      </c>
      <c r="AB27" s="156">
        <f>Poor!AB27</f>
        <v>0.25</v>
      </c>
      <c r="AC27" s="121">
        <f t="shared" si="7"/>
        <v>3.3261499734480088E-2</v>
      </c>
      <c r="AD27" s="156">
        <f>Poor!AD27</f>
        <v>0.25</v>
      </c>
      <c r="AE27" s="121">
        <f t="shared" si="8"/>
        <v>3.3261499734480088E-2</v>
      </c>
      <c r="AF27" s="122">
        <f t="shared" si="10"/>
        <v>0.25</v>
      </c>
      <c r="AG27" s="121">
        <f t="shared" si="11"/>
        <v>3.3261499734480088E-2</v>
      </c>
      <c r="AH27" s="123">
        <f t="shared" si="12"/>
        <v>1</v>
      </c>
      <c r="AI27" s="183">
        <f t="shared" si="13"/>
        <v>3.3261499734480088E-2</v>
      </c>
      <c r="AJ27" s="120">
        <f t="shared" si="14"/>
        <v>3.3261499734480088E-2</v>
      </c>
      <c r="AK27" s="119">
        <f t="shared" si="15"/>
        <v>3.3261499734480088E-2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0.46839382550433351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0.46839382550433351</v>
      </c>
      <c r="N29" s="228"/>
      <c r="P29" s="22"/>
      <c r="V29" s="56"/>
      <c r="W29" s="110"/>
      <c r="X29" s="118"/>
      <c r="Y29" s="183">
        <f t="shared" si="9"/>
        <v>1.873575302017334</v>
      </c>
      <c r="Z29" s="156">
        <f>Poor!Z29</f>
        <v>0.25</v>
      </c>
      <c r="AA29" s="121">
        <f t="shared" si="16"/>
        <v>0.46839382550433351</v>
      </c>
      <c r="AB29" s="156">
        <f>Poor!AB29</f>
        <v>0.25</v>
      </c>
      <c r="AC29" s="121">
        <f t="shared" si="7"/>
        <v>0.46839382550433351</v>
      </c>
      <c r="AD29" s="156">
        <f>Poor!AD29</f>
        <v>0.25</v>
      </c>
      <c r="AE29" s="121">
        <f t="shared" si="8"/>
        <v>0.46839382550433351</v>
      </c>
      <c r="AF29" s="122">
        <f t="shared" si="10"/>
        <v>0.25</v>
      </c>
      <c r="AG29" s="121">
        <f t="shared" si="11"/>
        <v>0.46839382550433351</v>
      </c>
      <c r="AH29" s="123">
        <f t="shared" si="12"/>
        <v>1</v>
      </c>
      <c r="AI29" s="183">
        <f t="shared" si="13"/>
        <v>0.46839382550433351</v>
      </c>
      <c r="AJ29" s="120">
        <f t="shared" si="14"/>
        <v>0.46839382550433351</v>
      </c>
      <c r="AK29" s="119">
        <f t="shared" si="15"/>
        <v>0.46839382550433351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9.6458152356788176</v>
      </c>
      <c r="J30" s="230">
        <f>IF(I$32&lt;=1,I30,1-SUM(J6:J29))</f>
        <v>0.26210171285617834</v>
      </c>
      <c r="K30" s="22">
        <f t="shared" si="4"/>
        <v>0.5065454465753424</v>
      </c>
      <c r="L30" s="22">
        <f>IF(L124=L119,0,IF(K30="",0,(L119-L124)/(B119-B124)*K30))</f>
        <v>0.29359128512266336</v>
      </c>
      <c r="M30" s="175">
        <f t="shared" si="6"/>
        <v>0.26210171285617834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1.0484068514247133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0.32388227310786388</v>
      </c>
      <c r="AC30" s="187">
        <f>IF(AC79*4/$I$83+SUM(AC6:AC29)&lt;1,AC79*4/$I$83,1-SUM(AC6:AC29))</f>
        <v>0.33956039418129469</v>
      </c>
      <c r="AD30" s="122">
        <f>IF($Y30=0,0,AE30/($Y$30))</f>
        <v>0.42215274046012891</v>
      </c>
      <c r="AE30" s="187">
        <f>IF(AE79*4/$I$83+SUM(AE6:AE29)&lt;1,AE79*4/$I$83,1-SUM(AE6:AE29))</f>
        <v>0.44258782544611797</v>
      </c>
      <c r="AF30" s="122">
        <f>IF($Y30=0,0,AG30/($Y$30))</f>
        <v>0.25396498643200749</v>
      </c>
      <c r="AG30" s="187">
        <f>IF(AG79*4/$I$83+SUM(AG6:AG29)&lt;1,AG79*4/$I$83,1-SUM(AG6:AG29))</f>
        <v>0.26625863179730103</v>
      </c>
      <c r="AH30" s="123">
        <f t="shared" si="12"/>
        <v>1.0000000000000002</v>
      </c>
      <c r="AI30" s="183">
        <f t="shared" si="13"/>
        <v>0.26210171285617845</v>
      </c>
      <c r="AJ30" s="120">
        <f t="shared" si="14"/>
        <v>0.16978019709064734</v>
      </c>
      <c r="AK30" s="119">
        <f t="shared" si="15"/>
        <v>0.3544232286217095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-3.4213546641965964E-2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11.136579912640739</v>
      </c>
      <c r="J32" s="17"/>
      <c r="L32" s="22">
        <f>SUM(L6:L30)</f>
        <v>1.034213546641966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-3.6312763008790991E-3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21098.399999999998</v>
      </c>
      <c r="J37" s="38">
        <f>J91*I$83</f>
        <v>21098.399999999998</v>
      </c>
      <c r="K37" s="40">
        <f t="shared" ref="K37:K52" si="28">(B37/B$65)</f>
        <v>0.10407838243101024</v>
      </c>
      <c r="L37" s="22">
        <f t="shared" ref="L37:L52" si="29">(K37*H37)</f>
        <v>9.8249993014873666E-2</v>
      </c>
      <c r="M37" s="24">
        <f t="shared" ref="M37:M52" si="30">J37/B$65</f>
        <v>9.8249993014873652E-2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21098.399999999998</v>
      </c>
      <c r="AH37" s="123">
        <f>SUM(Z37,AB37,AD37,AF37)</f>
        <v>1</v>
      </c>
      <c r="AI37" s="112">
        <f>SUM(AA37,AC37,AE37,AG37)</f>
        <v>21098.399999999998</v>
      </c>
      <c r="AJ37" s="148">
        <f>(AA37+AC37)</f>
        <v>0</v>
      </c>
      <c r="AK37" s="147">
        <f>(AE37+AG37)</f>
        <v>21098.399999999998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9912</v>
      </c>
      <c r="J38" s="38">
        <f t="shared" ref="J38:J64" si="33">J92*I$83</f>
        <v>7543.4301879299255</v>
      </c>
      <c r="K38" s="40">
        <f t="shared" si="28"/>
        <v>3.725400713414237E-2</v>
      </c>
      <c r="L38" s="22">
        <f t="shared" si="29"/>
        <v>3.5167782734630393E-2</v>
      </c>
      <c r="M38" s="24">
        <f t="shared" si="30"/>
        <v>3.5127875254630792E-2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7543.4301879299255</v>
      </c>
      <c r="AH38" s="123">
        <f t="shared" ref="AH38:AI58" si="35">SUM(Z38,AB38,AD38,AF38)</f>
        <v>1</v>
      </c>
      <c r="AI38" s="112">
        <f t="shared" si="35"/>
        <v>7543.4301879299255</v>
      </c>
      <c r="AJ38" s="148">
        <f t="shared" ref="AJ38:AJ64" si="36">(AA38+AC38)</f>
        <v>0</v>
      </c>
      <c r="AK38" s="147">
        <f t="shared" ref="AK38:AK64" si="37">(AE38+AG38)</f>
        <v>7543.4301879299255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2265.6</v>
      </c>
      <c r="J39" s="38">
        <f t="shared" si="33"/>
        <v>2265.6</v>
      </c>
      <c r="K39" s="40">
        <f t="shared" si="28"/>
        <v>1.1176202140242709E-2</v>
      </c>
      <c r="L39" s="22">
        <f t="shared" si="29"/>
        <v>1.0550334820389118E-2</v>
      </c>
      <c r="M39" s="24">
        <f t="shared" si="30"/>
        <v>1.0550334820389118E-2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0.78311680899087655</v>
      </c>
      <c r="AA39" s="147">
        <f>$J39*Z39</f>
        <v>1774.2294424497297</v>
      </c>
      <c r="AB39" s="122">
        <f>AB8</f>
        <v>0.21688319100912345</v>
      </c>
      <c r="AC39" s="147">
        <f>$J39*AB39</f>
        <v>491.37055755027006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2265.6</v>
      </c>
      <c r="AJ39" s="148">
        <f t="shared" si="36"/>
        <v>2265.6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0.78311680899087655</v>
      </c>
      <c r="AA40" s="147">
        <f>$J40*Z40</f>
        <v>0</v>
      </c>
      <c r="AB40" s="122">
        <f>AB9</f>
        <v>0.21688319100912348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5513.5487794865103</v>
      </c>
      <c r="K41" s="40">
        <f t="shared" si="28"/>
        <v>1.6764303210364064E-2</v>
      </c>
      <c r="L41" s="22">
        <f t="shared" si="29"/>
        <v>2.5582326699015563E-2</v>
      </c>
      <c r="M41" s="24">
        <f t="shared" si="30"/>
        <v>2.567522319567905E-2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5513.5487794865103</v>
      </c>
      <c r="AH41" s="123">
        <f t="shared" si="35"/>
        <v>1</v>
      </c>
      <c r="AI41" s="112">
        <f t="shared" si="35"/>
        <v>5513.5487794865103</v>
      </c>
      <c r="AJ41" s="148">
        <f t="shared" si="36"/>
        <v>0</v>
      </c>
      <c r="AK41" s="147">
        <f t="shared" si="37"/>
        <v>5513.5487794865103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8400</v>
      </c>
      <c r="J42" s="38">
        <f t="shared" si="33"/>
        <v>8399.9999999999982</v>
      </c>
      <c r="K42" s="40">
        <f t="shared" si="28"/>
        <v>2.7940505350606774E-2</v>
      </c>
      <c r="L42" s="22">
        <f t="shared" si="29"/>
        <v>3.911670749084948E-2</v>
      </c>
      <c r="M42" s="24">
        <f t="shared" si="30"/>
        <v>3.9116707490849473E-2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2099.9999999999995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4199.9999999999991</v>
      </c>
      <c r="AF42" s="122">
        <f t="shared" si="31"/>
        <v>0.25</v>
      </c>
      <c r="AG42" s="147">
        <f t="shared" si="34"/>
        <v>2099.9999999999995</v>
      </c>
      <c r="AH42" s="123">
        <f t="shared" si="35"/>
        <v>1</v>
      </c>
      <c r="AI42" s="112">
        <f t="shared" si="35"/>
        <v>8399.9999999999982</v>
      </c>
      <c r="AJ42" s="148">
        <f t="shared" si="36"/>
        <v>2099.9999999999995</v>
      </c>
      <c r="AK42" s="147">
        <f t="shared" si="37"/>
        <v>6299.9999999999982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606.99619590677162</v>
      </c>
      <c r="K43" s="40">
        <f t="shared" si="28"/>
        <v>2.0117163852436878E-3</v>
      </c>
      <c r="L43" s="22">
        <f t="shared" si="29"/>
        <v>2.816402939341163E-3</v>
      </c>
      <c r="M43" s="24">
        <f t="shared" si="30"/>
        <v>2.8266300765885182E-3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151.7490489766929</v>
      </c>
      <c r="AB43" s="156">
        <f>Poor!AB43</f>
        <v>0.25</v>
      </c>
      <c r="AC43" s="147">
        <f t="shared" si="39"/>
        <v>151.7490489766929</v>
      </c>
      <c r="AD43" s="156">
        <f>Poor!AD43</f>
        <v>0.25</v>
      </c>
      <c r="AE43" s="147">
        <f t="shared" si="40"/>
        <v>151.7490489766929</v>
      </c>
      <c r="AF43" s="122">
        <f t="shared" si="31"/>
        <v>0.25</v>
      </c>
      <c r="AG43" s="147">
        <f t="shared" si="34"/>
        <v>151.7490489766929</v>
      </c>
      <c r="AH43" s="123">
        <f t="shared" si="35"/>
        <v>1</v>
      </c>
      <c r="AI43" s="112">
        <f t="shared" si="35"/>
        <v>606.99619590677162</v>
      </c>
      <c r="AJ43" s="148">
        <f t="shared" si="36"/>
        <v>303.49809795338581</v>
      </c>
      <c r="AK43" s="147">
        <f t="shared" si="37"/>
        <v>303.49809795338581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1.1100000000000001</v>
      </c>
      <c r="G45" s="22">
        <f t="shared" si="32"/>
        <v>1.65</v>
      </c>
      <c r="H45" s="24">
        <f t="shared" si="26"/>
        <v>1.1100000000000001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0.8</v>
      </c>
      <c r="F47" s="75">
        <f>Middle!F47</f>
        <v>1.18</v>
      </c>
      <c r="G47" s="22">
        <f t="shared" si="32"/>
        <v>1.65</v>
      </c>
      <c r="H47" s="24">
        <f t="shared" si="26"/>
        <v>0.94399999999999995</v>
      </c>
      <c r="I47" s="39">
        <f t="shared" si="27"/>
        <v>71366.399999999994</v>
      </c>
      <c r="J47" s="38">
        <f t="shared" si="33"/>
        <v>71366.399999999994</v>
      </c>
      <c r="K47" s="40">
        <f t="shared" si="28"/>
        <v>0.35205036741764534</v>
      </c>
      <c r="L47" s="22">
        <f t="shared" si="29"/>
        <v>0.33233554684225719</v>
      </c>
      <c r="M47" s="24">
        <f t="shared" si="30"/>
        <v>0.33233554684225719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17841.599999999999</v>
      </c>
      <c r="AB47" s="156">
        <f>Poor!AB47</f>
        <v>0.25</v>
      </c>
      <c r="AC47" s="147">
        <f t="shared" si="39"/>
        <v>17841.599999999999</v>
      </c>
      <c r="AD47" s="156">
        <f>Poor!AD47</f>
        <v>0.25</v>
      </c>
      <c r="AE47" s="147">
        <f t="shared" si="40"/>
        <v>17841.599999999999</v>
      </c>
      <c r="AF47" s="122">
        <f t="shared" si="31"/>
        <v>0.25</v>
      </c>
      <c r="AG47" s="147">
        <f t="shared" si="34"/>
        <v>17841.599999999999</v>
      </c>
      <c r="AH47" s="123">
        <f t="shared" si="35"/>
        <v>1</v>
      </c>
      <c r="AI47" s="112">
        <f t="shared" si="35"/>
        <v>71366.399999999994</v>
      </c>
      <c r="AJ47" s="148">
        <f t="shared" si="36"/>
        <v>35683.199999999997</v>
      </c>
      <c r="AK47" s="147">
        <f t="shared" si="37"/>
        <v>35683.199999999997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8991.6</v>
      </c>
      <c r="J49" s="38">
        <f t="shared" si="33"/>
        <v>8991.6</v>
      </c>
      <c r="K49" s="40">
        <f t="shared" si="28"/>
        <v>3.5484441795270605E-2</v>
      </c>
      <c r="L49" s="22">
        <f t="shared" si="29"/>
        <v>4.1871641318419313E-2</v>
      </c>
      <c r="M49" s="24">
        <f t="shared" si="30"/>
        <v>4.1871641318419313E-2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2247.9</v>
      </c>
      <c r="AB49" s="156">
        <f>Poor!AB49</f>
        <v>0.25</v>
      </c>
      <c r="AC49" s="147">
        <f t="shared" si="39"/>
        <v>2247.9</v>
      </c>
      <c r="AD49" s="156">
        <f>Poor!AD49</f>
        <v>0.25</v>
      </c>
      <c r="AE49" s="147">
        <f t="shared" si="40"/>
        <v>2247.9</v>
      </c>
      <c r="AF49" s="122">
        <f t="shared" si="31"/>
        <v>0.25</v>
      </c>
      <c r="AG49" s="147">
        <f t="shared" si="34"/>
        <v>2247.9</v>
      </c>
      <c r="AH49" s="123">
        <f t="shared" si="35"/>
        <v>1</v>
      </c>
      <c r="AI49" s="112">
        <f t="shared" si="35"/>
        <v>8991.6</v>
      </c>
      <c r="AJ49" s="148">
        <f t="shared" si="36"/>
        <v>4495.8</v>
      </c>
      <c r="AK49" s="147">
        <f t="shared" si="37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</v>
      </c>
      <c r="F50" s="75">
        <f>Middle!F50</f>
        <v>1.18</v>
      </c>
      <c r="G50" s="22">
        <f t="shared" si="32"/>
        <v>1.65</v>
      </c>
      <c r="H50" s="24">
        <f t="shared" si="26"/>
        <v>0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208252.79999999999</v>
      </c>
      <c r="J65" s="39">
        <f>SUM(J37:J64)</f>
        <v>212004.77516332321</v>
      </c>
      <c r="K65" s="40">
        <f>SUM(K37:K64)</f>
        <v>1.0000000000000002</v>
      </c>
      <c r="L65" s="22">
        <f>SUM(L37:L64)</f>
        <v>0.98719020964692528</v>
      </c>
      <c r="M65" s="24">
        <f>SUM(M37:M64)</f>
        <v>0.98725342580083641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45670.178491426421</v>
      </c>
      <c r="AB65" s="137"/>
      <c r="AC65" s="153">
        <f>SUM(AC37:AC64)</f>
        <v>42287.319606526966</v>
      </c>
      <c r="AD65" s="137"/>
      <c r="AE65" s="153">
        <f>SUM(AE37:AE64)</f>
        <v>45995.949048976698</v>
      </c>
      <c r="AF65" s="137"/>
      <c r="AG65" s="153">
        <f>SUM(AG37:AG64)</f>
        <v>78051.328016393119</v>
      </c>
      <c r="AH65" s="137"/>
      <c r="AI65" s="153">
        <f>SUM(AI37:AI64)</f>
        <v>212004.77516332321</v>
      </c>
      <c r="AJ65" s="153">
        <f>SUM(AJ37:AJ64)</f>
        <v>87957.498097953387</v>
      </c>
      <c r="AK65" s="153">
        <f>SUM(AK37:AK64)</f>
        <v>124047.27706536981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187342.62645476655</v>
      </c>
      <c r="J74" s="51">
        <f>J128*I$83</f>
        <v>5090.5830233139359</v>
      </c>
      <c r="K74" s="40">
        <f>B74/B$76</f>
        <v>2.7766116637823381E-2</v>
      </c>
      <c r="L74" s="22">
        <f>(L128*G$37*F$9/F$7)/B$130</f>
        <v>2.655362588049745E-2</v>
      </c>
      <c r="M74" s="24">
        <f>J74/B$76</f>
        <v>2.3705577033435173E-2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1648.7496010352197</v>
      </c>
      <c r="AD74" s="156"/>
      <c r="AE74" s="147">
        <f>AE30*$I$83/4</f>
        <v>2149.0035738317865</v>
      </c>
      <c r="AF74" s="156"/>
      <c r="AG74" s="147">
        <f>AG30*$I$83/4</f>
        <v>1292.8298484469315</v>
      </c>
      <c r="AH74" s="155"/>
      <c r="AI74" s="147">
        <f>SUM(AA74,AC74,AE74,AG74)</f>
        <v>5090.5830233139377</v>
      </c>
      <c r="AJ74" s="148">
        <f>(AA74+AC74)</f>
        <v>1648.7496010352197</v>
      </c>
      <c r="AK74" s="147">
        <f>(AE74+AG74)</f>
        <v>3441.833422278718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121667.27192810918</v>
      </c>
      <c r="K75" s="40">
        <f>B75/B$76</f>
        <v>0.64878292866648568</v>
      </c>
      <c r="L75" s="22">
        <f>(L129*G$37*F$9/F$7)/B$130</f>
        <v>0.56366291204920382</v>
      </c>
      <c r="M75" s="24">
        <f>J75/B$76</f>
        <v>0.56657417705017732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40442.635105118061</v>
      </c>
      <c r="AB75" s="158"/>
      <c r="AC75" s="149">
        <f>AA75+AC65-SUM(AC70,AC74)</f>
        <v>75853.661724301448</v>
      </c>
      <c r="AD75" s="158"/>
      <c r="AE75" s="149">
        <f>AC75+AE65-SUM(AE70,AE74)</f>
        <v>114473.063813138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186004.01859477581</v>
      </c>
      <c r="AJ75" s="151">
        <f>AJ76-SUM(AJ70,AJ74)</f>
        <v>75853.661724301433</v>
      </c>
      <c r="AK75" s="149">
        <f>AJ75+AK76-SUM(AK70,AK74)</f>
        <v>186004.01859477581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208252.79999999999</v>
      </c>
      <c r="J76" s="51">
        <f>J130*I$83</f>
        <v>212004.77516332321</v>
      </c>
      <c r="K76" s="40">
        <f>SUM(K70:K75)</f>
        <v>0.79825713336624071</v>
      </c>
      <c r="L76" s="22">
        <f>SUM(L70:L75)</f>
        <v>0.7491336270190897</v>
      </c>
      <c r="M76" s="24">
        <f>SUM(M70:M75)</f>
        <v>0.74919684317300095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45670.178491426421</v>
      </c>
      <c r="AB76" s="137"/>
      <c r="AC76" s="153">
        <f>AC65</f>
        <v>42287.319606526966</v>
      </c>
      <c r="AD76" s="137"/>
      <c r="AE76" s="153">
        <f>AE65</f>
        <v>45995.949048976698</v>
      </c>
      <c r="AF76" s="137"/>
      <c r="AG76" s="153">
        <f>AG65</f>
        <v>78051.328016393119</v>
      </c>
      <c r="AH76" s="137"/>
      <c r="AI76" s="153">
        <f>SUM(AA76,AC76,AE76,AG76)</f>
        <v>212004.77516332321</v>
      </c>
      <c r="AJ76" s="154">
        <f>SUM(AA76,AC76)</f>
        <v>87957.498097953387</v>
      </c>
      <c r="AK76" s="154">
        <f>SUM(AE76,AG76)</f>
        <v>124047.27706536982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18382.8266666667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40442.635105118061</v>
      </c>
      <c r="AD78" s="112"/>
      <c r="AE78" s="112">
        <f>AC75</f>
        <v>75853.661724301448</v>
      </c>
      <c r="AF78" s="112"/>
      <c r="AG78" s="112">
        <f>AE75</f>
        <v>114473.063813138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40442.635105118061</v>
      </c>
      <c r="AB79" s="112"/>
      <c r="AC79" s="112">
        <f>AA79-AA74+AC65-AC70</f>
        <v>77502.411325336667</v>
      </c>
      <c r="AD79" s="112"/>
      <c r="AE79" s="112">
        <f>AC79-AC74+AE65-AE70</f>
        <v>116622.06738696978</v>
      </c>
      <c r="AF79" s="112"/>
      <c r="AG79" s="112">
        <f>AE79-AE74+AG65-AG70</f>
        <v>187296.84844322276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0.57212121212121214</v>
      </c>
      <c r="I91" s="22">
        <f t="shared" ref="I91" si="52">(D91*H91)</f>
        <v>1.0863051939628019</v>
      </c>
      <c r="J91" s="24">
        <f>IF(I$32&lt;=1+I$131,I91,L91+J$33*(I91-L91))</f>
        <v>1.0863051939628019</v>
      </c>
      <c r="K91" s="22">
        <f t="shared" ref="K91" si="53">(B91)</f>
        <v>1.8987325953798975</v>
      </c>
      <c r="L91" s="22">
        <f t="shared" ref="L91" si="54">(K91*H91)</f>
        <v>1.0863051939628019</v>
      </c>
      <c r="M91" s="226">
        <f t="shared" si="50"/>
        <v>1.0863051939628019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0.57212121212121214</v>
      </c>
      <c r="I92" s="22">
        <f t="shared" ref="I92:I118" si="59">(D92*H92)</f>
        <v>0.51034472199594727</v>
      </c>
      <c r="J92" s="24">
        <f t="shared" ref="J92:J118" si="60">IF(I$32&lt;=1+I$131,I92,L92+J$33*(I92-L92))</f>
        <v>0.38839283516494494</v>
      </c>
      <c r="K92" s="22">
        <f t="shared" ref="K92:K118" si="61">(B92)</f>
        <v>0.67963582832390068</v>
      </c>
      <c r="L92" s="22">
        <f t="shared" ref="L92:L118" si="62">(K92*H92)</f>
        <v>0.38883407390167413</v>
      </c>
      <c r="M92" s="226">
        <f t="shared" ref="M92:M118" si="63">(J92)</f>
        <v>0.38839283516494494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0.57212121212121214</v>
      </c>
      <c r="I93" s="22">
        <f t="shared" si="59"/>
        <v>0.11665022217050224</v>
      </c>
      <c r="J93" s="24">
        <f t="shared" si="60"/>
        <v>0.11665022217050224</v>
      </c>
      <c r="K93" s="22">
        <f t="shared" si="61"/>
        <v>0.2038907484971702</v>
      </c>
      <c r="L93" s="22">
        <f t="shared" si="62"/>
        <v>0.11665022217050224</v>
      </c>
      <c r="M93" s="226">
        <f t="shared" si="63"/>
        <v>0.11665022217050224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6">
        <f t="shared" si="63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0.28387918876898077</v>
      </c>
      <c r="K95" s="22">
        <f t="shared" si="61"/>
        <v>0.30583612274575533</v>
      </c>
      <c r="L95" s="22">
        <f t="shared" si="62"/>
        <v>0.28285207473334706</v>
      </c>
      <c r="M95" s="226">
        <f t="shared" si="63"/>
        <v>0.28387918876898077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0.84848484848484851</v>
      </c>
      <c r="I96" s="22">
        <f t="shared" si="59"/>
        <v>0.4324955271152095</v>
      </c>
      <c r="J96" s="24">
        <f t="shared" si="60"/>
        <v>0.4324955271152095</v>
      </c>
      <c r="K96" s="22">
        <f t="shared" si="61"/>
        <v>0.50972687124292548</v>
      </c>
      <c r="L96" s="22">
        <f t="shared" si="62"/>
        <v>0.4324955271152095</v>
      </c>
      <c r="M96" s="226">
        <f t="shared" si="63"/>
        <v>0.4324955271152095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3.125275472686026E-2</v>
      </c>
      <c r="K97" s="22">
        <f t="shared" si="61"/>
        <v>3.6700334729490636E-2</v>
      </c>
      <c r="L97" s="22">
        <f t="shared" si="62"/>
        <v>3.1139677952295084E-2</v>
      </c>
      <c r="M97" s="226">
        <f t="shared" si="63"/>
        <v>3.125275472686026E-2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0.67272727272727284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0.67272727272727284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0.57212121212121214</v>
      </c>
      <c r="I101" s="22">
        <f t="shared" si="59"/>
        <v>3.6744819983708203</v>
      </c>
      <c r="J101" s="24">
        <f t="shared" si="60"/>
        <v>3.6744819983708203</v>
      </c>
      <c r="K101" s="22">
        <f t="shared" si="61"/>
        <v>6.4225585776608618</v>
      </c>
      <c r="L101" s="22">
        <f t="shared" si="62"/>
        <v>3.6744819983708203</v>
      </c>
      <c r="M101" s="226">
        <f t="shared" si="63"/>
        <v>3.6744819983708203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6">
        <f t="shared" si="63"/>
        <v>3.047487054204371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0.7151515151515152</v>
      </c>
      <c r="I103" s="22">
        <f t="shared" si="59"/>
        <v>0.46295556923918074</v>
      </c>
      <c r="J103" s="24">
        <f t="shared" si="60"/>
        <v>0.46295556923918074</v>
      </c>
      <c r="K103" s="22">
        <f t="shared" si="61"/>
        <v>0.64735312647851539</v>
      </c>
      <c r="L103" s="22">
        <f t="shared" si="62"/>
        <v>0.46295556923918074</v>
      </c>
      <c r="M103" s="226">
        <f t="shared" si="63"/>
        <v>0.46295556923918074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6">
        <f t="shared" si="63"/>
        <v>0.87734806929085374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6">
        <f t="shared" si="63"/>
        <v>0.51436075189058861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10.722429108240275</v>
      </c>
      <c r="J119" s="24">
        <f>SUM(J91:J118)</f>
        <v>10.915609164905115</v>
      </c>
      <c r="K119" s="22">
        <f>SUM(K91:K118)</f>
        <v>18.243294630741381</v>
      </c>
      <c r="L119" s="22">
        <f>SUM(L91:L118)</f>
        <v>10.914910212831645</v>
      </c>
      <c r="M119" s="57">
        <f t="shared" si="50"/>
        <v>10.915609164905115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6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9.6458152356788176</v>
      </c>
      <c r="J128" s="227">
        <f>(J30)</f>
        <v>0.26210171285617834</v>
      </c>
      <c r="K128" s="22">
        <f>(B128)</f>
        <v>0.5065454465753424</v>
      </c>
      <c r="L128" s="22">
        <f>IF(L124=L119,0,(L119-L124)/(B119-B124)*K128)</f>
        <v>0.29359128512266336</v>
      </c>
      <c r="M128" s="57">
        <f t="shared" si="90"/>
        <v>0.26210171285617834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6.2643512982401335</v>
      </c>
      <c r="K129" s="29">
        <f>(B129)</f>
        <v>11.835938119057971</v>
      </c>
      <c r="L129" s="60">
        <f>IF(SUM(L124:L128)&gt;L130,0,L130-SUM(L124:L128))</f>
        <v>6.2321627739001775</v>
      </c>
      <c r="M129" s="57">
        <f t="shared" si="90"/>
        <v>6.2643512982401335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10.722429108240275</v>
      </c>
      <c r="J130" s="227">
        <f>(J119)</f>
        <v>10.915609164905115</v>
      </c>
      <c r="K130" s="22">
        <f>(B130)</f>
        <v>18.243294630741381</v>
      </c>
      <c r="L130" s="22">
        <f>(L119)</f>
        <v>10.914910212831645</v>
      </c>
      <c r="M130" s="57">
        <f t="shared" si="90"/>
        <v>10.915609164905115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0.94648694155566027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29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3:N11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6:N28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12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1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2" workbookViewId="0">
      <selection activeCell="B88" sqref="B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ZAKHC: 59208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1704.3658691468711</v>
      </c>
      <c r="G72" s="109">
        <f>Poor!T7</f>
        <v>5224.3977052947848</v>
      </c>
      <c r="H72" s="109">
        <f>Middle!T7</f>
        <v>3943.4073594293845</v>
      </c>
      <c r="I72" s="109">
        <f>Rich!T7</f>
        <v>2911.7833146536182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2099.9999999999995</v>
      </c>
      <c r="H73" s="109">
        <f>Middle!T8</f>
        <v>35901.226092411365</v>
      </c>
      <c r="I73" s="109">
        <f>Rich!T8</f>
        <v>14520.544975393279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98.327631687412421</v>
      </c>
      <c r="G74" s="109">
        <f>Poor!T9</f>
        <v>470.60927533252931</v>
      </c>
      <c r="H74" s="109">
        <f>Middle!T9</f>
        <v>1366.5004213844259</v>
      </c>
      <c r="I74" s="109">
        <f>Rich!T9</f>
        <v>1676.5667504638079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1213.7142857142858</v>
      </c>
      <c r="G76" s="109">
        <f>Poor!T11</f>
        <v>6843.9999999999991</v>
      </c>
      <c r="H76" s="109">
        <f>Middle!T11</f>
        <v>27153.213631611568</v>
      </c>
      <c r="I76" s="109">
        <f>Rich!T11</f>
        <v>30907.43018792992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8245.7142857142862</v>
      </c>
      <c r="G78" s="109">
        <f>Poor!T13</f>
        <v>5505.6000000000013</v>
      </c>
      <c r="H78" s="109">
        <f>Middle!T13</f>
        <v>20714.057142857142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71366.399999999994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10276.114285714286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27268.114285714288</v>
      </c>
      <c r="G85" s="109">
        <f>Poor!T20</f>
        <v>25983.599999999999</v>
      </c>
      <c r="H85" s="109">
        <f>Middle!T20</f>
        <v>0</v>
      </c>
      <c r="I85" s="109">
        <f>Rich!T20</f>
        <v>8991.6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40842.398998525372</v>
      </c>
      <c r="G88" s="109">
        <f>Poor!T23</f>
        <v>48440.369621175545</v>
      </c>
      <c r="H88" s="109">
        <f>Middle!T23</f>
        <v>116889.53871681353</v>
      </c>
      <c r="I88" s="109">
        <f>Rich!T23</f>
        <v>216593.12522844065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3038.5228533498084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13509.834640203349</v>
      </c>
      <c r="G99" s="238">
        <f t="shared" si="0"/>
        <v>5911.8640175531837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35776.442853349821</v>
      </c>
      <c r="C100" s="238">
        <f t="shared" si="0"/>
        <v>417.28373872459633</v>
      </c>
      <c r="D100" s="238">
        <f t="shared" si="0"/>
        <v>0</v>
      </c>
      <c r="E100" s="238">
        <f t="shared" si="0"/>
        <v>0</v>
      </c>
      <c r="F100" s="238">
        <f t="shared" si="0"/>
        <v>46247.754640203362</v>
      </c>
      <c r="G100" s="238">
        <f t="shared" si="0"/>
        <v>38649.784017553175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2016-06-02T08:53:51Z</dcterms:modified>
  <cp:category/>
</cp:coreProperties>
</file>