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E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F54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F54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F54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<sst xmlns="http://schemas.openxmlformats.org/spreadsheetml/2006/main" count="790" uniqueCount="145">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</sst>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0.00703882938978829</c:v>
                </c:pt>
                <c:pt idx="2" formatCode="0.0%">
                  <c:v>0.00703882938978829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0.00469255292652553</c:v>
                </c:pt>
                <c:pt idx="2" formatCode="0.0%">
                  <c:v>0.00469255292652553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0.267545660702055</c:v>
                </c:pt>
                <c:pt idx="2" formatCode="0.0%">
                  <c:v>0.319120727825342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0.0668688792029888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0.0563317247820672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0.0234666874221669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0.150900192665164</c:v>
                </c:pt>
                <c:pt idx="2" formatCode="0.0%">
                  <c:v>-0.0256435045837866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995352"/>
        <c:axId val="-2078992056"/>
      </c:barChart>
      <c:catAx>
        <c:axId val="-207899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992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99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99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0.0261715926531016</c:v>
                </c:pt>
                <c:pt idx="2">
                  <c:v>0.0261715926531016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0.0467349868805386</c:v>
                </c:pt>
                <c:pt idx="2">
                  <c:v>0.0652685771169282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0.00934699737610772</c:v>
                </c:pt>
                <c:pt idx="2">
                  <c:v>0.00749363835246877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0.0135986930046042</c:v>
                </c:pt>
                <c:pt idx="2">
                  <c:v>0.0028130858729697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0.0009376952909899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0.00415862171394623</c:v>
                </c:pt>
                <c:pt idx="2">
                  <c:v>0.000860270909165046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0.0277241447596416</c:v>
                </c:pt>
                <c:pt idx="2">
                  <c:v>0.00573513939443364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0.0124758651418387</c:v>
                </c:pt>
                <c:pt idx="2">
                  <c:v>0.00258081272749514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0.00242586266646864</c:v>
                </c:pt>
                <c:pt idx="2">
                  <c:v>0.000501824697012943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0.0110896579038566</c:v>
                </c:pt>
                <c:pt idx="2">
                  <c:v>0.0110896579038566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0.392573889796525</c:v>
                </c:pt>
                <c:pt idx="2">
                  <c:v>0.392573889796525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0.336491905539878</c:v>
                </c:pt>
                <c:pt idx="2">
                  <c:v>0.336491905539878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0.0110132385712056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410504"/>
        <c:axId val="-2073407512"/>
      </c:barChart>
      <c:catAx>
        <c:axId val="-207341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0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40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1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0.0200550629755685</c:v>
                </c:pt>
                <c:pt idx="2">
                  <c:v>0.0200550629755685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0.0736716599102517</c:v>
                </c:pt>
                <c:pt idx="2">
                  <c:v>0.0736716599102517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0.00920895748878146</c:v>
                </c:pt>
                <c:pt idx="2">
                  <c:v>0.00924706243530644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0.0198486852088708</c:v>
                </c:pt>
                <c:pt idx="2">
                  <c:v>0.0200950756681806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0.00200950756681806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0.0145678423551345</c:v>
                </c:pt>
                <c:pt idx="2">
                  <c:v>0.0147486793894903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0.0242797372585575</c:v>
                </c:pt>
                <c:pt idx="2">
                  <c:v>0.0245811323158172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0.00728392117756726</c:v>
                </c:pt>
                <c:pt idx="2">
                  <c:v>0.00737433969474517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0.00106223850506189</c:v>
                </c:pt>
                <c:pt idx="2">
                  <c:v>0.001075424538817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0.0048559474517115</c:v>
                </c:pt>
                <c:pt idx="2">
                  <c:v>0.0048559474517115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0.171900539790587</c:v>
                </c:pt>
                <c:pt idx="2">
                  <c:v>0.171900539790587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0.589373279282013</c:v>
                </c:pt>
                <c:pt idx="2">
                  <c:v>0.589373279282014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47064"/>
        <c:axId val="-2073551832"/>
      </c:barChart>
      <c:catAx>
        <c:axId val="-207354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5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55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4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0.046920034854883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0.00647496480997386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0.0334807963000201</c:v>
                </c:pt>
                <c:pt idx="2">
                  <c:v>0.0334807963000201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0.0535692740800322</c:v>
                </c:pt>
                <c:pt idx="2">
                  <c:v>0.0535692740800322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0.178564246933441</c:v>
                </c:pt>
                <c:pt idx="2">
                  <c:v>0.178564246933441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73016"/>
        <c:axId val="-2073677768"/>
      </c:barChart>
      <c:catAx>
        <c:axId val="-207367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67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7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67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3343.563195889893</c:v>
                </c:pt>
                <c:pt idx="5">
                  <c:v>8038.780003642886</c:v>
                </c:pt>
                <c:pt idx="6">
                  <c:v>10229.99693465767</c:v>
                </c:pt>
                <c:pt idx="7">
                  <c:v>4081.263972177876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0.0</c:v>
                </c:pt>
                <c:pt idx="6">
                  <c:v>2476.244573954243</c:v>
                </c:pt>
                <c:pt idx="7">
                  <c:v>19701.0650201793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150.1817224124308</c:v>
                </c:pt>
                <c:pt idx="6">
                  <c:v>338.1696075849353</c:v>
                </c:pt>
                <c:pt idx="7">
                  <c:v>1396.332442906054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1888</c:v>
                </c:pt>
                <c:pt idx="6">
                  <c:v>9991.819951331744</c:v>
                </c:pt>
                <c:pt idx="7">
                  <c:v>27143.30138901858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5354.25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9894.03207795628</c:v>
                </c:pt>
                <c:pt idx="5">
                  <c:v>16656.52434816961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13593.6</c:v>
                </c:pt>
                <c:pt idx="6">
                  <c:v>73632.0</c:v>
                </c:pt>
                <c:pt idx="7">
                  <c:v>200667.4285714286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6163.2</c:v>
                </c:pt>
                <c:pt idx="6">
                  <c:v>1112.282029498915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853496"/>
        <c:axId val="-20738595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53496"/>
        <c:axId val="-2073859528"/>
      </c:lineChart>
      <c:catAx>
        <c:axId val="-207385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85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85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853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952616"/>
        <c:axId val="-20739557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52616"/>
        <c:axId val="-2073955720"/>
      </c:lineChart>
      <c:catAx>
        <c:axId val="-207395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95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95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95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563544"/>
        <c:axId val="17929425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563544"/>
        <c:axId val="1792942584"/>
      </c:lineChart>
      <c:catAx>
        <c:axId val="1792563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4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94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56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0.289554820507102</c:v>
                </c:pt>
                <c:pt idx="2">
                  <c:v>0.286777533719651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0.00483547855847865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0.0284545602461855</c:v>
                </c:pt>
                <c:pt idx="2">
                  <c:v>-0.00483547855847861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-0.298583394707124</c:v>
                </c:pt>
                <c:pt idx="2">
                  <c:v>-0.00697038242899429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563144"/>
        <c:axId val="1792179240"/>
      </c:barChart>
      <c:catAx>
        <c:axId val="179256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17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17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56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0.037332303010351</c:v>
                </c:pt>
                <c:pt idx="2">
                  <c:v>-0.00803793087713988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0.0435463553149171</c:v>
                </c:pt>
                <c:pt idx="2">
                  <c:v>0.0556173818632813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0.324153869003416</c:v>
                </c:pt>
                <c:pt idx="2">
                  <c:v>0.324153869003416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0.037332303010351</c:v>
                </c:pt>
                <c:pt idx="2">
                  <c:v>-0.00803793087713988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11736"/>
        <c:axId val="1793007960"/>
      </c:barChart>
      <c:catAx>
        <c:axId val="179301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0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00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1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0.0171066985974527</c:v>
                </c:pt>
                <c:pt idx="2">
                  <c:v>0.0129039866399604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0.398799020139175</c:v>
                </c:pt>
                <c:pt idx="2">
                  <c:v>0.398799020139175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0.20955862076939</c:v>
                </c:pt>
                <c:pt idx="2">
                  <c:v>0.214656303821197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0.0171066985974527</c:v>
                </c:pt>
                <c:pt idx="2">
                  <c:v>0.0129039866399604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951416"/>
        <c:axId val="1792948232"/>
      </c:barChart>
      <c:catAx>
        <c:axId val="179295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94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94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95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0.372002144915879</c:v>
                </c:pt>
                <c:pt idx="2">
                  <c:v>0.351628795495677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-1.312998186957555</c:v>
                </c:pt>
                <c:pt idx="2">
                  <c:v>-1.312998186957555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891960"/>
        <c:axId val="1792874136"/>
      </c:barChart>
      <c:catAx>
        <c:axId val="179289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87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87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89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0.354578586472603</c:v>
                </c:pt>
                <c:pt idx="2" formatCode="0.0%">
                  <c:v>0.477296647301931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0.0892576457045249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0.0131427144530613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0.0922359201153333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0.0831389415789032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0.0229003380826232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0.00795833183835664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0.220489222154479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0.294521336868055</c:v>
                </c:pt>
                <c:pt idx="2" formatCode="0.0%">
                  <c:v>-0.0634127004415417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092392"/>
        <c:axId val="-2032094520"/>
      </c:barChart>
      <c:catAx>
        <c:axId val="-203209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09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09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09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232952"/>
        <c:axId val="-21012375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32952"/>
        <c:axId val="-21012375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32952"/>
        <c:axId val="-2101237544"/>
      </c:scatterChart>
      <c:catAx>
        <c:axId val="-2101232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237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237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2329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932408"/>
        <c:axId val="18287746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932408"/>
        <c:axId val="1828774680"/>
      </c:lineChart>
      <c:catAx>
        <c:axId val="18289324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8774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774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89324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78968"/>
        <c:axId val="18295734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69368"/>
        <c:axId val="1829568904"/>
      </c:scatterChart>
      <c:valAx>
        <c:axId val="18295789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573464"/>
        <c:crosses val="autoZero"/>
        <c:crossBetween val="midCat"/>
      </c:valAx>
      <c:valAx>
        <c:axId val="1829573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578968"/>
        <c:crosses val="autoZero"/>
        <c:crossBetween val="midCat"/>
      </c:valAx>
      <c:valAx>
        <c:axId val="18295693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29568904"/>
        <c:crosses val="autoZero"/>
        <c:crossBetween val="midCat"/>
      </c:valAx>
      <c:valAx>
        <c:axId val="18295689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5693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86808"/>
        <c:axId val="18294767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486808"/>
        <c:axId val="1829476744"/>
      </c:lineChart>
      <c:catAx>
        <c:axId val="182948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476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9476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4868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0.048266258672834</c:v>
                </c:pt>
                <c:pt idx="2" formatCode="0.0%">
                  <c:v>0.048266258672834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0.0321775057818893</c:v>
                </c:pt>
                <c:pt idx="2" formatCode="0.0%">
                  <c:v>0.0321775057818893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0.0286301592243373</c:v>
                </c:pt>
                <c:pt idx="2" formatCode="0.0%">
                  <c:v>0.0286301592243373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0.117885867710372</c:v>
                </c:pt>
                <c:pt idx="2" formatCode="0.0%">
                  <c:v>0.110569022089203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0.0545273159271199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-0.00188066621091525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0.0398212794695364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0.0508639582232065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0.0236513393750575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0.0215054553841465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0.284914121195463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0.352236455561926</c:v>
                </c:pt>
                <c:pt idx="2" formatCode="0.0%">
                  <c:v>0.265700274707295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120472"/>
        <c:axId val="-2100953704"/>
      </c:barChart>
      <c:catAx>
        <c:axId val="-21011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95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95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12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0.100571380890411</c:v>
                </c:pt>
                <c:pt idx="2" formatCode="0.0%">
                  <c:v>0.100571380890411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0.00518251867995019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408328"/>
        <c:axId val="-2100418120"/>
      </c:barChart>
      <c:catAx>
        <c:axId val="-21004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1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41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0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0.00478640398505604</c:v>
                </c:pt>
                <c:pt idx="1">
                  <c:v>0.00478640398505604</c:v>
                </c:pt>
                <c:pt idx="2">
                  <c:v>0.00929125479452054</c:v>
                </c:pt>
                <c:pt idx="3">
                  <c:v>0.00929125479452054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1.27648291130137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0.399706770205479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0.0668688792029888</c:v>
                </c:pt>
                <c:pt idx="1">
                  <c:v>0.0668688792029888</c:v>
                </c:pt>
                <c:pt idx="2">
                  <c:v>0.0668688792029888</c:v>
                </c:pt>
                <c:pt idx="3">
                  <c:v>0.0668688792029888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0.225326899128269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0.0276062110834371</c:v>
                </c:pt>
                <c:pt idx="1">
                  <c:v>0.0165674813200498</c:v>
                </c:pt>
                <c:pt idx="2">
                  <c:v>0.0220868462017435</c:v>
                </c:pt>
                <c:pt idx="3">
                  <c:v>0.0276062110834371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-0.620501083296569</c:v>
                </c:pt>
                <c:pt idx="1">
                  <c:v>-1.21042239881791</c:v>
                </c:pt>
                <c:pt idx="2">
                  <c:v>-1.21042239881791</c:v>
                </c:pt>
                <c:pt idx="3">
                  <c:v>-1.21042239881791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544552"/>
        <c:axId val="-2100541240"/>
      </c:barChart>
      <c:catAx>
        <c:axId val="-2100544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41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54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4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0.28014986469567</c:v>
                </c:pt>
                <c:pt idx="1">
                  <c:v>0.0531834686376631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0.338100704984464</c:v>
                </c:pt>
                <c:pt idx="1">
                  <c:v>0.0641848185771797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695240"/>
        <c:axId val="-2100701192"/>
      </c:barChart>
      <c:catAx>
        <c:axId val="-2100695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7011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70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9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0.00306068524989456</c:v>
                </c:pt>
                <c:pt idx="1">
                  <c:v>0.00315750480127996</c:v>
                </c:pt>
                <c:pt idx="2">
                  <c:v>0.00317592501741258</c:v>
                </c:pt>
                <c:pt idx="3">
                  <c:v>0.0024187351804789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0.494666326050024</c:v>
                </c:pt>
                <c:pt idx="1">
                  <c:v>0.510314250571264</c:v>
                </c:pt>
                <c:pt idx="2">
                  <c:v>0.513291316128622</c:v>
                </c:pt>
                <c:pt idx="3">
                  <c:v>0.390914696457813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0.0925058910891566</c:v>
                </c:pt>
                <c:pt idx="1">
                  <c:v>0.0954321569886204</c:v>
                </c:pt>
                <c:pt idx="2">
                  <c:v>0.0959888880368268</c:v>
                </c:pt>
                <c:pt idx="3">
                  <c:v>0.0731036467034958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0.0525708578122454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0.0922359201153333</c:v>
                </c:pt>
                <c:pt idx="1">
                  <c:v>0.0922359201153333</c:v>
                </c:pt>
                <c:pt idx="2">
                  <c:v>0.0922359201153333</c:v>
                </c:pt>
                <c:pt idx="3">
                  <c:v>0.0922359201153333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0.332555766315613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0.026939957720398</c:v>
                </c:pt>
                <c:pt idx="1">
                  <c:v>0.016167638686332</c:v>
                </c:pt>
                <c:pt idx="2">
                  <c:v>0.021553798203365</c:v>
                </c:pt>
                <c:pt idx="3">
                  <c:v>0.026939957720398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0.220489222154479</c:v>
                </c:pt>
                <c:pt idx="1">
                  <c:v>0.220489222154479</c:v>
                </c:pt>
                <c:pt idx="2">
                  <c:v>0.220489222154479</c:v>
                </c:pt>
                <c:pt idx="3">
                  <c:v>0.220489222154479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-0.215901820446118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830040"/>
        <c:axId val="-2100853576"/>
      </c:barChart>
      <c:catAx>
        <c:axId val="-2100830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53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853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3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0.0328210558975271</c:v>
                </c:pt>
                <c:pt idx="1">
                  <c:v>0.0328210558975271</c:v>
                </c:pt>
                <c:pt idx="2">
                  <c:v>0.0637114614481409</c:v>
                </c:pt>
                <c:pt idx="3">
                  <c:v>0.0637114614481409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0.0887660814295344</c:v>
                </c:pt>
                <c:pt idx="1">
                  <c:v>0.0257545554678148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0.342812582404749</c:v>
                </c:pt>
                <c:pt idx="1">
                  <c:v>0.0994635059520645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0.169058653421887</c:v>
                </c:pt>
                <c:pt idx="1">
                  <c:v>0.0490506102865929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-0.00752266484366098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0.0398212794695364</c:v>
                </c:pt>
                <c:pt idx="1">
                  <c:v>0.0398212794695364</c:v>
                </c:pt>
                <c:pt idx="2">
                  <c:v>0.0398212794695364</c:v>
                </c:pt>
                <c:pt idx="3">
                  <c:v>0.0398212794695364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0.203455832892826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0.0278234356408176</c:v>
                </c:pt>
                <c:pt idx="1">
                  <c:v>0.0166978455987906</c:v>
                </c:pt>
                <c:pt idx="2">
                  <c:v>0.0222606406198041</c:v>
                </c:pt>
                <c:pt idx="3">
                  <c:v>0.0278234356408176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0.284914121195463</c:v>
                </c:pt>
                <c:pt idx="1">
                  <c:v>0.284914121195463</c:v>
                </c:pt>
                <c:pt idx="2">
                  <c:v>0.284914121195463</c:v>
                </c:pt>
                <c:pt idx="3">
                  <c:v>0.284914121195463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0.378917665748953</c:v>
                </c:pt>
                <c:pt idx="2">
                  <c:v>0.4914325021213</c:v>
                </c:pt>
                <c:pt idx="3">
                  <c:v>0.192450930958928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957560"/>
        <c:axId val="-2100963688"/>
      </c:barChart>
      <c:catAx>
        <c:axId val="-210095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63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96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5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0.0278096921490647</c:v>
                </c:pt>
                <c:pt idx="2">
                  <c:v>0.0278096921490647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0.020621593754603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0.0185594343791427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0.00360877890705553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0.0554021210782147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0.0234644277507733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0.0340897039328325</c:v>
                </c:pt>
                <c:pt idx="2">
                  <c:v>0.0340897039328325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0.0235439681838268</c:v>
                </c:pt>
                <c:pt idx="2">
                  <c:v>0.0235439681838268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0.172655766681396</c:v>
                </c:pt>
                <c:pt idx="2">
                  <c:v>0.172655766681396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0.200229783473266</c:v>
                </c:pt>
                <c:pt idx="2">
                  <c:v>0.200229783473266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0.0907821475916924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236232"/>
        <c:axId val="-2073232936"/>
      </c:barChart>
      <c:catAx>
        <c:axId val="-207323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3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23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3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2682.7487908894295</v>
      </c>
      <c r="T7" s="221">
        <f>IF($B$81=0,0,(SUMIF($N$6:$N$28,$U7,M$6:M$28)+SUMIF($N$91:$N$118,$U7,M$91:M$118))*$I$83*Poor!$B$81/$B$81)</f>
        <v>3343.563195889893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1593.1999999999998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0.8404495940870107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0.28014986469567021</v>
      </c>
      <c r="AB9" s="125">
        <f>IF($Y9=0,0,AC9/$Y9)</f>
        <v>0.1595504059129893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5.3183468637663101E-2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0.10057138089041096</v>
      </c>
      <c r="J10" s="24">
        <f t="shared" si="3"/>
        <v>0.10057138089041096</v>
      </c>
      <c r="K10" s="22">
        <f t="shared" si="4"/>
        <v>9.2267321917808204E-2</v>
      </c>
      <c r="L10" s="22">
        <f t="shared" si="5"/>
        <v>0.10057138089041096</v>
      </c>
      <c r="M10" s="223">
        <f t="shared" si="6"/>
        <v>0.10057138089041096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0.40228552356164382</v>
      </c>
      <c r="Z10" s="125">
        <f>IF($Y10=0,0,AA10/$Y10)</f>
        <v>0.84044959408701059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0.3381007049844641</v>
      </c>
      <c r="AB10" s="125">
        <f>IF($Y10=0,0,AC10/$Y10)</f>
        <v>0.15955040591298938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6.4184818577179725E-2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0.10057138089041096</v>
      </c>
      <c r="AJ10" s="120">
        <f t="shared" si="14"/>
        <v>0.20114276178082191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9894.0320779562808</v>
      </c>
      <c r="T13" s="221">
        <f>IF($B$81=0,0,(SUMIF($N$6:$N$28,$U13,M$6:M$28)+SUMIF($N$91:$N$118,$U13,M$91:M$118))*$I$83*Poor!$B$81/$B$81)</f>
        <v>9894.0320779562808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5.1825186799501861E-3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5.1825186799501861E-3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17118.106815366955</v>
      </c>
      <c r="T23" s="179">
        <f>SUM(T7:T22)</f>
        <v>17022.612885145085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0.56623471980074724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22206.179476685844</v>
      </c>
      <c r="T30" s="233">
        <f t="shared" si="24"/>
        <v>22301.673406907714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-2.2204460492503131E-16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-5.5511151231257827E-17</v>
      </c>
      <c r="AJ30" s="120">
        <f t="shared" si="14"/>
        <v>-1.1102230246251565E-16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0.26521932556846961</v>
      </c>
      <c r="K31" s="22" t="str">
        <f t="shared" si="4"/>
        <v/>
      </c>
      <c r="L31" s="22">
        <f>(1-SUM(L6:L30))</f>
        <v>0.41656665165866102</v>
      </c>
      <c r="M31" s="240">
        <f t="shared" si="6"/>
        <v>0.26521932556846961</v>
      </c>
      <c r="N31" s="167">
        <f>M31*I83</f>
        <v>3395.2601711348502</v>
      </c>
      <c r="P31" s="22"/>
      <c r="Q31" s="237" t="s">
        <v>142</v>
      </c>
      <c r="R31" s="233">
        <f t="shared" si="24"/>
        <v>10945.076551611397</v>
      </c>
      <c r="S31" s="233">
        <f t="shared" si="24"/>
        <v>42477.006143352512</v>
      </c>
      <c r="T31" s="233">
        <f>IF(T25&gt;T$23,T25-T$23,0)</f>
        <v>42572.500073574382</v>
      </c>
      <c r="V31" s="56"/>
      <c r="W31" s="129" t="s">
        <v>84</v>
      </c>
      <c r="X31" s="130"/>
      <c r="Y31" s="121">
        <f>M31*4</f>
        <v>1.0608773022738784</v>
      </c>
      <c r="Z31" s="131"/>
      <c r="AA31" s="132">
        <f>1-AA32+IF($Y32&lt;0,$Y32/4,0)</f>
        <v>0</v>
      </c>
      <c r="AB31" s="131"/>
      <c r="AC31" s="133">
        <f>1-AC32+IF($Y32&lt;0,$Y32/4,0)</f>
        <v>0.47388539828098253</v>
      </c>
      <c r="AD31" s="134"/>
      <c r="AE31" s="133">
        <f>1-AE32+IF($Y32&lt;0,$Y32/4,0)</f>
        <v>0.63147183755061986</v>
      </c>
      <c r="AF31" s="134"/>
      <c r="AG31" s="133">
        <f>1-AG32+IF($Y32&lt;0,$Y32/4,0)</f>
        <v>0.63373208387689639</v>
      </c>
      <c r="AH31" s="123"/>
      <c r="AI31" s="182">
        <f>SUM(AA31,AC31,AE31,AG31)/4</f>
        <v>0.43477232992712467</v>
      </c>
      <c r="AJ31" s="135">
        <f t="shared" si="14"/>
        <v>0.23694269914049126</v>
      </c>
      <c r="AK31" s="136">
        <f t="shared" si="15"/>
        <v>0.63260196071375807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0.73478067443153039</v>
      </c>
      <c r="J32" s="17"/>
      <c r="L32" s="22">
        <f>SUM(L6:L30)</f>
        <v>0.58343334834133898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75214.926143352524</v>
      </c>
      <c r="T32" s="233">
        <f t="shared" si="24"/>
        <v>75310.42007357438</v>
      </c>
      <c r="V32" s="56"/>
      <c r="W32" s="110"/>
      <c r="X32" s="118"/>
      <c r="Y32" s="115">
        <f>SUM(Y6:Y31)</f>
        <v>3.3217879825653798</v>
      </c>
      <c r="Z32" s="137"/>
      <c r="AA32" s="138">
        <f>SUM(AA6:AA30)</f>
        <v>1</v>
      </c>
      <c r="AB32" s="137"/>
      <c r="AC32" s="139">
        <f>SUM(AC6:AC30)</f>
        <v>0.52611460171901747</v>
      </c>
      <c r="AD32" s="137"/>
      <c r="AE32" s="139">
        <f>SUM(AE6:AE30)</f>
        <v>0.36852816244938008</v>
      </c>
      <c r="AF32" s="137"/>
      <c r="AG32" s="139">
        <f>SUM(AG6:AG30)</f>
        <v>0.36626791612310361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3.8334185115668404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39177.239902439534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0.8404495940870107</v>
      </c>
      <c r="AA40" s="147">
        <f t="shared" si="40"/>
        <v>0</v>
      </c>
      <c r="AB40" s="122">
        <f>AB9</f>
        <v>0.1595504059129893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4.6920034854883032E-2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6.4749648099738585E-3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999.00000000000011</v>
      </c>
      <c r="J49" s="38">
        <f t="shared" si="32"/>
        <v>999</v>
      </c>
      <c r="K49" s="40">
        <f t="shared" si="33"/>
        <v>3.0162879549567666E-2</v>
      </c>
      <c r="L49" s="22">
        <f t="shared" si="34"/>
        <v>3.3480796300020113E-2</v>
      </c>
      <c r="M49" s="24">
        <f t="shared" si="35"/>
        <v>3.3480796300020106E-2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249.75</v>
      </c>
      <c r="AB49" s="156">
        <f>Poor!AB49</f>
        <v>0.25</v>
      </c>
      <c r="AC49" s="147">
        <f t="shared" si="41"/>
        <v>249.75</v>
      </c>
      <c r="AD49" s="156">
        <f>Poor!AD49</f>
        <v>0.25</v>
      </c>
      <c r="AE49" s="147">
        <f t="shared" si="42"/>
        <v>249.75</v>
      </c>
      <c r="AF49" s="122">
        <f t="shared" si="29"/>
        <v>0.25</v>
      </c>
      <c r="AG49" s="147">
        <f t="shared" si="36"/>
        <v>249.75</v>
      </c>
      <c r="AH49" s="123">
        <f t="shared" si="37"/>
        <v>1</v>
      </c>
      <c r="AI49" s="112">
        <f t="shared" si="37"/>
        <v>999</v>
      </c>
      <c r="AJ49" s="148">
        <f t="shared" si="38"/>
        <v>499.5</v>
      </c>
      <c r="AK49" s="147">
        <f t="shared" si="39"/>
        <v>499.5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1598.4</v>
      </c>
      <c r="J50" s="38">
        <f t="shared" si="32"/>
        <v>1598.4</v>
      </c>
      <c r="K50" s="40">
        <f t="shared" si="33"/>
        <v>4.8260607279308268E-2</v>
      </c>
      <c r="L50" s="22">
        <f t="shared" si="34"/>
        <v>5.3569274080032182E-2</v>
      </c>
      <c r="M50" s="24">
        <f t="shared" si="35"/>
        <v>5.3569274080032175E-2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399.6</v>
      </c>
      <c r="AB50" s="156">
        <f>Poor!AB55</f>
        <v>0.25</v>
      </c>
      <c r="AC50" s="147">
        <f t="shared" si="41"/>
        <v>399.6</v>
      </c>
      <c r="AD50" s="156">
        <f>Poor!AD55</f>
        <v>0.25</v>
      </c>
      <c r="AE50" s="147">
        <f t="shared" si="42"/>
        <v>399.6</v>
      </c>
      <c r="AF50" s="122">
        <f t="shared" si="29"/>
        <v>0.25</v>
      </c>
      <c r="AG50" s="147">
        <f t="shared" si="36"/>
        <v>399.6</v>
      </c>
      <c r="AH50" s="123">
        <f t="shared" si="37"/>
        <v>1</v>
      </c>
      <c r="AI50" s="112">
        <f t="shared" si="37"/>
        <v>1598.4</v>
      </c>
      <c r="AJ50" s="148">
        <f t="shared" si="38"/>
        <v>799.2</v>
      </c>
      <c r="AK50" s="147">
        <f t="shared" si="39"/>
        <v>799.2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5328.0000000000009</v>
      </c>
      <c r="J51" s="38">
        <f t="shared" si="32"/>
        <v>5327.9999999999991</v>
      </c>
      <c r="K51" s="40">
        <f t="shared" si="33"/>
        <v>0.16086869093102754</v>
      </c>
      <c r="L51" s="22">
        <f t="shared" si="34"/>
        <v>0.17856424693344058</v>
      </c>
      <c r="M51" s="24">
        <f t="shared" si="35"/>
        <v>0.17856424693344056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1331.9999999999998</v>
      </c>
      <c r="AB51" s="156">
        <f>Poor!AB56</f>
        <v>0.25</v>
      </c>
      <c r="AC51" s="147">
        <f t="shared" si="41"/>
        <v>1331.9999999999998</v>
      </c>
      <c r="AD51" s="156">
        <f>Poor!AD56</f>
        <v>0.25</v>
      </c>
      <c r="AE51" s="147">
        <f t="shared" si="42"/>
        <v>1331.9999999999998</v>
      </c>
      <c r="AF51" s="122">
        <f t="shared" si="29"/>
        <v>0.25</v>
      </c>
      <c r="AG51" s="147">
        <f t="shared" si="36"/>
        <v>1331.9999999999998</v>
      </c>
      <c r="AH51" s="123">
        <f t="shared" si="37"/>
        <v>1</v>
      </c>
      <c r="AI51" s="112">
        <f t="shared" si="37"/>
        <v>5327.9999999999991</v>
      </c>
      <c r="AJ51" s="148">
        <f t="shared" si="38"/>
        <v>2663.9999999999995</v>
      </c>
      <c r="AK51" s="147">
        <f t="shared" si="39"/>
        <v>2663.9999999999995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0.67765936054695353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10491.900000000001</v>
      </c>
      <c r="J65" s="39">
        <f>SUM(J37:J64)</f>
        <v>10491.899999999998</v>
      </c>
      <c r="K65" s="40">
        <f>SUM(K37:K64)</f>
        <v>1</v>
      </c>
      <c r="L65" s="22">
        <f>SUM(L37:L64)</f>
        <v>0.37200214491587913</v>
      </c>
      <c r="M65" s="24">
        <f>SUM(M37:M64)</f>
        <v>0.3516287954956766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2622.9749999999995</v>
      </c>
      <c r="AB65" s="137"/>
      <c r="AC65" s="153">
        <f>SUM(AC37:AC64)</f>
        <v>2622.9749999999995</v>
      </c>
      <c r="AD65" s="137"/>
      <c r="AE65" s="153">
        <f>SUM(AE37:AE64)</f>
        <v>2622.9749999999995</v>
      </c>
      <c r="AF65" s="137"/>
      <c r="AG65" s="153">
        <f>SUM(AG37:AG64)</f>
        <v>2622.9749999999995</v>
      </c>
      <c r="AH65" s="137"/>
      <c r="AI65" s="153">
        <f>SUM(AI37:AI64)</f>
        <v>10491.899999999998</v>
      </c>
      <c r="AJ65" s="153">
        <f>SUM(AJ37:AJ64)</f>
        <v>5245.9499999999989</v>
      </c>
      <c r="AK65" s="153">
        <f>SUM(AK37:AK64)</f>
        <v>5245.9499999999989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10491.9</v>
      </c>
      <c r="J70" s="51">
        <f t="shared" ref="J70:J77" si="44">J124*I$83</f>
        <v>10491.9</v>
      </c>
      <c r="K70" s="40">
        <f>B70/B$76</f>
        <v>0.70376014372307771</v>
      </c>
      <c r="L70" s="22">
        <f t="shared" ref="L70:L74" si="45">(L124*G$37*F$9/F$7)/B$130</f>
        <v>0.37200214491587902</v>
      </c>
      <c r="M70" s="24">
        <f>J70/B$76</f>
        <v>0.35162879549567666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2622.9749999999999</v>
      </c>
      <c r="AB70" s="156">
        <f>Poor!AB70</f>
        <v>0.25</v>
      </c>
      <c r="AC70" s="147">
        <f>$J70*AB70</f>
        <v>2622.9749999999999</v>
      </c>
      <c r="AD70" s="156">
        <f>Poor!AD70</f>
        <v>0.25</v>
      </c>
      <c r="AE70" s="147">
        <f>$J70*AD70</f>
        <v>2622.9749999999999</v>
      </c>
      <c r="AF70" s="156">
        <f>Poor!AF70</f>
        <v>0.25</v>
      </c>
      <c r="AG70" s="147">
        <f>$J70*AF70</f>
        <v>2622.9749999999999</v>
      </c>
      <c r="AH70" s="155">
        <f>SUM(Z70,AB70,AD70,AF70)</f>
        <v>1</v>
      </c>
      <c r="AI70" s="147">
        <f>SUM(AA70,AC70,AE70,AG70)</f>
        <v>10491.9</v>
      </c>
      <c r="AJ70" s="148">
        <f>(AA70+AC70)</f>
        <v>5245.95</v>
      </c>
      <c r="AK70" s="147">
        <f>(AE70+AG70)</f>
        <v>5245.95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0.57573117054315526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0.14723488931353881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-7.1063750888196841E-13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-7.1063750888196841E-13</v>
      </c>
      <c r="AJ74" s="148">
        <f>(AA74+AC74)</f>
        <v>-7.1063750888196841E-13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2.5589015799550429E-13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10491.9</v>
      </c>
      <c r="J76" s="51">
        <f t="shared" si="44"/>
        <v>10491.9</v>
      </c>
      <c r="K76" s="40">
        <f>SUM(K70:K75)</f>
        <v>2.4160351384949807</v>
      </c>
      <c r="L76" s="22">
        <f>SUM(L70:L75)</f>
        <v>0.37200214491587902</v>
      </c>
      <c r="M76" s="24">
        <f>SUM(M70:M75)</f>
        <v>0.35162879549567666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2622.9749999999995</v>
      </c>
      <c r="AB76" s="137"/>
      <c r="AC76" s="153">
        <f>AC65</f>
        <v>2622.9749999999995</v>
      </c>
      <c r="AD76" s="137"/>
      <c r="AE76" s="153">
        <f>AE65</f>
        <v>2622.9749999999995</v>
      </c>
      <c r="AF76" s="137"/>
      <c r="AG76" s="153">
        <f>AG65</f>
        <v>2622.9749999999995</v>
      </c>
      <c r="AH76" s="137"/>
      <c r="AI76" s="153">
        <f>SUM(AA76,AC76,AE76,AG76)</f>
        <v>10491.899999999998</v>
      </c>
      <c r="AJ76" s="154">
        <f>SUM(AA76,AC76)</f>
        <v>5245.9499999999989</v>
      </c>
      <c r="AK76" s="154">
        <f>SUM(AE76,AG76)</f>
        <v>5245.9499999999989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39177.239902439534</v>
      </c>
      <c r="J77" s="100">
        <f t="shared" si="44"/>
        <v>39177.239902439534</v>
      </c>
      <c r="K77" s="40"/>
      <c r="L77" s="22">
        <f>-(L131*G$37*F$9/F$7)/B$130</f>
        <v>-1.3129981869575551</v>
      </c>
      <c r="M77" s="24">
        <f>-J77/B$76</f>
        <v>-1.3129981869575553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1516.6355383578766</v>
      </c>
      <c r="AD77" s="112"/>
      <c r="AE77" s="111">
        <f>AE31*$I$83/4</f>
        <v>2020.9794050956641</v>
      </c>
      <c r="AF77" s="112"/>
      <c r="AG77" s="111">
        <f>AG31*$I$83/4</f>
        <v>2028.2131580585296</v>
      </c>
      <c r="AH77" s="110"/>
      <c r="AI77" s="154">
        <f>SUM(AA77,AC77,AE77,AG77)</f>
        <v>5565.8281015120701</v>
      </c>
      <c r="AJ77" s="153">
        <f>SUM(AA77,AC77)</f>
        <v>1516.6355383578766</v>
      </c>
      <c r="AK77" s="160">
        <f>SUM(AE77,AG77)</f>
        <v>4049.1925631541935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2.5589015799550429E-13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-4.5474735088646412E-13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0.10936041336465527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1.5091737044322427E-2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0.67272727272727284</v>
      </c>
      <c r="I103" s="22">
        <f t="shared" si="54"/>
        <v>7.8036466393779022E-2</v>
      </c>
      <c r="J103" s="24">
        <f>IF(I$32&lt;=1+I131,I103,L103+J$33*(I103-L103))</f>
        <v>7.8036466393779022E-2</v>
      </c>
      <c r="K103" s="22">
        <f t="shared" si="56"/>
        <v>0.11600015274750934</v>
      </c>
      <c r="L103" s="22">
        <f t="shared" si="57"/>
        <v>7.8036466393779022E-2</v>
      </c>
      <c r="M103" s="227">
        <f t="shared" si="49"/>
        <v>7.8036466393779022E-2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0.67272727272727284</v>
      </c>
      <c r="I104" s="22">
        <f t="shared" si="54"/>
        <v>0.12485834623004644</v>
      </c>
      <c r="J104" s="24">
        <f>IF(I$32&lt;=1+I131,I104,L104+J$33*(I104-L104))</f>
        <v>0.12485834623004644</v>
      </c>
      <c r="K104" s="22">
        <f t="shared" si="56"/>
        <v>0.18560024439601494</v>
      </c>
      <c r="L104" s="22">
        <f t="shared" si="57"/>
        <v>0.12485834623004644</v>
      </c>
      <c r="M104" s="227">
        <f t="shared" si="49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0.67272727272727284</v>
      </c>
      <c r="I105" s="22">
        <f t="shared" si="54"/>
        <v>0.41619448743348808</v>
      </c>
      <c r="J105" s="24">
        <f>IF(I$32&lt;=1+I131,I105,L105+J$33*(I105-L105))</f>
        <v>0.41619448743348808</v>
      </c>
      <c r="K105" s="22">
        <f t="shared" si="56"/>
        <v>0.61866748132004978</v>
      </c>
      <c r="L105" s="22">
        <f t="shared" si="57"/>
        <v>0.41619448743348808</v>
      </c>
      <c r="M105" s="227">
        <f t="shared" si="49"/>
        <v>0.41619448743348808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0.57212121212121214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2.6061367650607101</v>
      </c>
      <c r="L110" s="22">
        <f t="shared" si="64"/>
        <v>0</v>
      </c>
      <c r="M110" s="227">
        <f t="shared" si="65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0.81957037212901906</v>
      </c>
      <c r="J119" s="24">
        <f>SUM(J91:J118)</f>
        <v>0.81957037212901906</v>
      </c>
      <c r="K119" s="22">
        <f>SUM(K91:K118)</f>
        <v>3.8457917307557601</v>
      </c>
      <c r="L119" s="22">
        <f>SUM(L91:L118)</f>
        <v>0.8670562259035719</v>
      </c>
      <c r="M119" s="57">
        <f t="shared" si="49"/>
        <v>0.81957037212901906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0.81957037212901906</v>
      </c>
      <c r="J124" s="236">
        <f>IF(SUMPRODUCT($B$124:$B124,$H$124:$H124)&lt;J$119,($B124*$H124),J$119)</f>
        <v>0.81957037212901906</v>
      </c>
      <c r="K124" s="29">
        <f>(B124)</f>
        <v>2.7065149411656972</v>
      </c>
      <c r="L124" s="29">
        <f>IF(SUMPRODUCT($B$124:$B124,$H$124:$H124)&lt;L$119,($B124*$H124),L$119)</f>
        <v>0.8670562259035719</v>
      </c>
      <c r="M124" s="239">
        <f t="shared" si="66"/>
        <v>0.81957037212901906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0.56623471980074724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0.81957037212901906</v>
      </c>
      <c r="J130" s="227">
        <f>(J119)</f>
        <v>0.81957037212901906</v>
      </c>
      <c r="K130" s="29">
        <f>(B130)</f>
        <v>3.8457917307557601</v>
      </c>
      <c r="L130" s="29">
        <f>(L119)</f>
        <v>0.8670562259035719</v>
      </c>
      <c r="M130" s="239">
        <f t="shared" si="66"/>
        <v>0.81957037212901906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3.0603136787264678</v>
      </c>
      <c r="J131" s="236">
        <f>IF(SUMPRODUCT($B124:$B125,$H124:$H125)&gt;(J119-J128),SUMPRODUCT($B124:$B125,$H124:$H125)+J128-J119,0)</f>
        <v>3.0603136787264678</v>
      </c>
      <c r="K131" s="29"/>
      <c r="L131" s="29">
        <f>IF(I131&lt;SUM(L126:L127),0,I131-(SUM(L126:L127)))</f>
        <v>3.0603136787264678</v>
      </c>
      <c r="M131" s="236">
        <f>IF(I131&lt;SUM(M126:M127),0,I131-(SUM(M126:M127)))</f>
        <v>3.0603136787264678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7.0388293897882927E-3</v>
      </c>
      <c r="J6" s="24">
        <f t="shared" ref="J6:J13" si="3">IF(I$32&lt;=1+I$131,I6,B6*H6+J$33*(I6-B6*H6))</f>
        <v>7.0388293897882927E-3</v>
      </c>
      <c r="K6" s="22">
        <f t="shared" ref="K6:K31" si="4">B6</f>
        <v>1.4077658779576585E-2</v>
      </c>
      <c r="L6" s="22">
        <f t="shared" ref="L6:L29" si="5">IF(K6="","",K6*H6)</f>
        <v>7.0388293897882927E-3</v>
      </c>
      <c r="M6" s="223">
        <f t="shared" ref="M6:M31" si="6">J6</f>
        <v>7.0388293897882927E-3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2.8155317559153171E-2</v>
      </c>
      <c r="Z6" s="116">
        <v>0.17</v>
      </c>
      <c r="AA6" s="121">
        <f>$M6*Z6*4</f>
        <v>4.7864039850560392E-3</v>
      </c>
      <c r="AB6" s="116">
        <v>0.17</v>
      </c>
      <c r="AC6" s="121">
        <f t="shared" ref="AC6:AC29" si="7">$M6*AB6*4</f>
        <v>4.7864039850560392E-3</v>
      </c>
      <c r="AD6" s="116">
        <v>0.33</v>
      </c>
      <c r="AE6" s="121">
        <f t="shared" ref="AE6:AE29" si="8">$M6*AD6*4</f>
        <v>9.2912547945205471E-3</v>
      </c>
      <c r="AF6" s="122">
        <f>1-SUM(Z6,AB6,AD6)</f>
        <v>0.32999999999999996</v>
      </c>
      <c r="AG6" s="121">
        <f>$M6*AF6*4</f>
        <v>9.2912547945205454E-3</v>
      </c>
      <c r="AH6" s="123">
        <f>SUM(Z6,AB6,AD6,AF6)</f>
        <v>1</v>
      </c>
      <c r="AI6" s="183">
        <f>SUM(AA6,AC6,AE6,AG6)/4</f>
        <v>7.0388293897882927E-3</v>
      </c>
      <c r="AJ6" s="120">
        <f>(AA6+AC6)/2</f>
        <v>4.7864039850560392E-3</v>
      </c>
      <c r="AK6" s="119">
        <f>(AE6+AG6)/2</f>
        <v>9.2912547945205454E-3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4.6925529265255291E-3</v>
      </c>
      <c r="J7" s="24">
        <f t="shared" si="3"/>
        <v>4.6925529265255291E-3</v>
      </c>
      <c r="K7" s="22">
        <f t="shared" si="4"/>
        <v>9.3851058530510581E-3</v>
      </c>
      <c r="L7" s="22">
        <f t="shared" si="5"/>
        <v>4.6925529265255291E-3</v>
      </c>
      <c r="M7" s="223">
        <f t="shared" si="6"/>
        <v>4.6925529265255291E-3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5656.0792496829454</v>
      </c>
      <c r="T7" s="221">
        <f>IF($B$81=0,0,(SUMIF($N$6:$N$28,$U7,M$6:M$28)+SUMIF($N$91:$N$118,$U7,M$91:M$118))*$I$83*Poor!$B$81/$B$81)</f>
        <v>8038.7800036428862</v>
      </c>
      <c r="U7" s="222">
        <v>1</v>
      </c>
      <c r="V7" s="56"/>
      <c r="W7" s="115"/>
      <c r="X7" s="124">
        <v>4</v>
      </c>
      <c r="Y7" s="183">
        <f t="shared" ref="Y7:Y29" si="9">M7*4</f>
        <v>1.8770211706102116E-2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1.8770211706102116E-2</v>
      </c>
      <c r="AH7" s="123">
        <f t="shared" ref="AH7:AH30" si="12">SUM(Z7,AB7,AD7,AF7)</f>
        <v>1</v>
      </c>
      <c r="AI7" s="183">
        <f t="shared" ref="AI7:AI30" si="13">SUM(AA7,AC7,AE7,AG7)/4</f>
        <v>4.6925529265255291E-3</v>
      </c>
      <c r="AJ7" s="120">
        <f t="shared" ref="AJ7:AJ31" si="14">(AA7+AC7)/2</f>
        <v>0</v>
      </c>
      <c r="AK7" s="119">
        <f t="shared" ref="AK7:AK31" si="15">(AE7+AG7)/2</f>
        <v>9.3851058530510581E-3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3820.599999999999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150.18172241243082</v>
      </c>
      <c r="T9" s="221">
        <f>IF($B$81=0,0,(SUMIF($N$6:$N$28,$U9,M$6:M$28)+SUMIF($N$91:$N$118,$U9,M$91:M$118))*$I$83*Poor!$B$81/$B$81)</f>
        <v>150.18172241243082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1.0900000000000001</v>
      </c>
      <c r="H10" s="24">
        <f t="shared" si="1"/>
        <v>1.0900000000000001</v>
      </c>
      <c r="I10" s="22">
        <f t="shared" si="2"/>
        <v>0.31912072782534245</v>
      </c>
      <c r="J10" s="24">
        <f t="shared" si="3"/>
        <v>0.31912072782534245</v>
      </c>
      <c r="K10" s="22">
        <f t="shared" si="4"/>
        <v>0.24545473458904107</v>
      </c>
      <c r="L10" s="22">
        <f t="shared" si="5"/>
        <v>0.26754566070205477</v>
      </c>
      <c r="M10" s="223">
        <f t="shared" si="6"/>
        <v>0.31912072782534245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1.2764829113013698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1.2764829113013698</v>
      </c>
      <c r="AH10" s="123">
        <f t="shared" si="12"/>
        <v>1</v>
      </c>
      <c r="AI10" s="183">
        <f t="shared" si="13"/>
        <v>0.31912072782534245</v>
      </c>
      <c r="AJ10" s="120">
        <f t="shared" si="14"/>
        <v>0</v>
      </c>
      <c r="AK10" s="119">
        <f t="shared" si="15"/>
        <v>0.63824145565068491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1887.9999999999998</v>
      </c>
      <c r="T11" s="221">
        <f>IF($B$81=0,0,(SUMIF($N$6:$N$28,$U11,M$6:M$28)+SUMIF($N$91:$N$118,$U11,M$91:M$118))*$I$83*Poor!$B$81/$B$81)</f>
        <v>1887.9999999999998</v>
      </c>
      <c r="U11" s="222">
        <v>5</v>
      </c>
      <c r="V11" s="56"/>
      <c r="W11" s="115"/>
      <c r="X11" s="124">
        <v>1</v>
      </c>
      <c r="Y11" s="183">
        <f t="shared" si="9"/>
        <v>0.39970677020547951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0.39970677020547951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</v>
      </c>
      <c r="AK11" s="119">
        <f t="shared" si="15"/>
        <v>0.19985338510273976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5354.2499999999991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16656.524348169609</v>
      </c>
      <c r="T13" s="221">
        <f>IF($B$81=0,0,(SUMIF($N$6:$N$28,$U13,M$6:M$28)+SUMIF($N$91:$N$118,$U13,M$91:M$118))*$I$83*Poor!$B$81/$B$81)</f>
        <v>16656.524348169609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13593.599999999999</v>
      </c>
      <c r="T14" s="221">
        <f>IF($B$81=0,0,(SUMIF($N$6:$N$28,$U14,M$6:M$28)+SUMIF($N$91:$N$118,$U14,M$91:M$118))*$I$83*Poor!$B$81/$B$81)</f>
        <v>13593.599999999999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6.6868879202988785E-2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6.6868879202988785E-2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0.26747551681195514</v>
      </c>
      <c r="Z15" s="116">
        <v>0.25</v>
      </c>
      <c r="AA15" s="121">
        <f t="shared" si="16"/>
        <v>6.6868879202988785E-2</v>
      </c>
      <c r="AB15" s="116">
        <v>0.25</v>
      </c>
      <c r="AC15" s="121">
        <f t="shared" si="7"/>
        <v>6.6868879202988785E-2</v>
      </c>
      <c r="AD15" s="116">
        <v>0.25</v>
      </c>
      <c r="AE15" s="121">
        <f t="shared" si="8"/>
        <v>6.6868879202988785E-2</v>
      </c>
      <c r="AF15" s="122">
        <f t="shared" si="10"/>
        <v>0.25</v>
      </c>
      <c r="AG15" s="121">
        <f t="shared" si="11"/>
        <v>6.6868879202988785E-2</v>
      </c>
      <c r="AH15" s="123">
        <f t="shared" si="12"/>
        <v>1</v>
      </c>
      <c r="AI15" s="183">
        <f t="shared" si="13"/>
        <v>6.6868879202988785E-2</v>
      </c>
      <c r="AJ15" s="120">
        <f t="shared" si="14"/>
        <v>6.6868879202988785E-2</v>
      </c>
      <c r="AK15" s="119">
        <f t="shared" si="15"/>
        <v>6.6868879202988785E-2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5.6331724782067244E-2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5.6331724782067244E-2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6163.2</v>
      </c>
      <c r="U16" s="222">
        <v>10</v>
      </c>
      <c r="V16" s="56"/>
      <c r="W16" s="110"/>
      <c r="X16" s="118"/>
      <c r="Y16" s="183">
        <f t="shared" si="9"/>
        <v>0.22532689912826898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0.22532689912826898</v>
      </c>
      <c r="AH16" s="123">
        <f t="shared" si="12"/>
        <v>1</v>
      </c>
      <c r="AI16" s="183">
        <f t="shared" si="13"/>
        <v>5.6331724782067244E-2</v>
      </c>
      <c r="AJ16" s="120">
        <f t="shared" si="14"/>
        <v>0</v>
      </c>
      <c r="AK16" s="119">
        <f t="shared" si="15"/>
        <v>0.11266344956413449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2.3466687422166874E-2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2.3466687422166874E-2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9.3866749688667497E-2</v>
      </c>
      <c r="Z17" s="116">
        <v>0.29409999999999997</v>
      </c>
      <c r="AA17" s="121">
        <f t="shared" si="16"/>
        <v>2.760621108343711E-2</v>
      </c>
      <c r="AB17" s="116">
        <v>0.17649999999999999</v>
      </c>
      <c r="AC17" s="121">
        <f t="shared" si="7"/>
        <v>1.6567481320049812E-2</v>
      </c>
      <c r="AD17" s="116">
        <v>0.23530000000000001</v>
      </c>
      <c r="AE17" s="121">
        <f t="shared" si="8"/>
        <v>2.2086846201743462E-2</v>
      </c>
      <c r="AF17" s="122">
        <f t="shared" si="10"/>
        <v>0.29410000000000003</v>
      </c>
      <c r="AG17" s="121">
        <f t="shared" si="11"/>
        <v>2.7606211083437113E-2</v>
      </c>
      <c r="AH17" s="123">
        <f t="shared" si="12"/>
        <v>1</v>
      </c>
      <c r="AI17" s="183">
        <f t="shared" si="13"/>
        <v>2.3466687422166874E-2</v>
      </c>
      <c r="AJ17" s="120">
        <f t="shared" si="14"/>
        <v>2.2086846201743462E-2</v>
      </c>
      <c r="AK17" s="119">
        <f t="shared" si="15"/>
        <v>2.4846528642590286E-2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56927.742941655109</v>
      </c>
      <c r="T23" s="179">
        <f>SUM(T7:T22)</f>
        <v>59121.893695615043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1.5208383020481606</v>
      </c>
      <c r="J30" s="230">
        <f>IF(I$32&lt;=1,I30,1-SUM(J6:J29))</f>
        <v>-2.5643504583786614E-2</v>
      </c>
      <c r="K30" s="22">
        <f t="shared" si="4"/>
        <v>0.59392078206724785</v>
      </c>
      <c r="L30" s="22">
        <f>IF(L124=L119,0,IF(K30="",0,(L119-L124)/(B119-B124)*K30))</f>
        <v>0.15090019266516355</v>
      </c>
      <c r="M30" s="175">
        <f t="shared" si="6"/>
        <v>-2.5643504583786614E-2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-0.10257401833514646</v>
      </c>
      <c r="Z30" s="122">
        <f>IF($Y30=0,0,AA30/($Y$30))</f>
        <v>6.049300723202319</v>
      </c>
      <c r="AA30" s="187">
        <f>IF(AA79*4/$I$83+SUM(AA6:AA29)&lt;1,AA79*4/$I$83,1-SUM(AA6:AA29))</f>
        <v>-0.62050108329656939</v>
      </c>
      <c r="AB30" s="122">
        <f>IF($Y30=0,0,AC30/($Y$30))</f>
        <v>11.800477532848735</v>
      </c>
      <c r="AC30" s="187">
        <f>IF(AC79*4/$I$83+SUM(AC6:AC29)&lt;1,AC79*4/$I$83,1-SUM(AC6:AC29))</f>
        <v>-1.2104223988179099</v>
      </c>
      <c r="AD30" s="122">
        <f>IF($Y30=0,0,AE30/($Y$30))</f>
        <v>11.800477532848735</v>
      </c>
      <c r="AE30" s="187">
        <f>IF(AE79*4/$I$83+SUM(AE6:AE29)&lt;1,AE79*4/$I$83,1-SUM(AE6:AE29))</f>
        <v>-1.2104223988179099</v>
      </c>
      <c r="AF30" s="122">
        <f>IF($Y30=0,0,AG30/($Y$30))</f>
        <v>11.800477532848735</v>
      </c>
      <c r="AG30" s="187">
        <f>IF(AG79*4/$I$83+SUM(AG6:AG29)&lt;1,AG79*4/$I$83,1-SUM(AG6:AG29))</f>
        <v>-1.2104223988179099</v>
      </c>
      <c r="AH30" s="123">
        <f t="shared" si="12"/>
        <v>41.450733321748523</v>
      </c>
      <c r="AI30" s="183">
        <f t="shared" si="13"/>
        <v>-1.0629420699375747</v>
      </c>
      <c r="AJ30" s="120">
        <f t="shared" si="14"/>
        <v>-0.91546174105723965</v>
      </c>
      <c r="AK30" s="119">
        <f t="shared" si="15"/>
        <v>-1.2104223988179099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0.11337327740911163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2667.3700170643569</v>
      </c>
      <c r="T31" s="233">
        <f>IF(T25&gt;T$23,T25-T$23,0)</f>
        <v>473.21926310442359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0.36750857970367123</v>
      </c>
      <c r="AB31" s="131"/>
      <c r="AC31" s="133">
        <f>1-AC32+IF($Y32&lt;0,$Y32/4,0)</f>
        <v>0.9934081501445633</v>
      </c>
      <c r="AD31" s="134"/>
      <c r="AE31" s="133">
        <f>1-AE32+IF($Y32&lt;0,$Y32/4,0)</f>
        <v>1.001672736072085</v>
      </c>
      <c r="AF31" s="134"/>
      <c r="AG31" s="133">
        <f>1-AG32+IF($Y32&lt;0,$Y32/4,0)</f>
        <v>1.7866047954948328</v>
      </c>
      <c r="AH31" s="123"/>
      <c r="AI31" s="182">
        <f>SUM(AA31,AC31,AE31,AG31)/4</f>
        <v>1.0372985653537881</v>
      </c>
      <c r="AJ31" s="135">
        <f t="shared" si="14"/>
        <v>0.68045836492411726</v>
      </c>
      <c r="AK31" s="136">
        <f t="shared" si="15"/>
        <v>1.3941387657834587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2.546481806631947</v>
      </c>
      <c r="J32" s="17"/>
      <c r="L32" s="22">
        <f>SUM(L6:L30)</f>
        <v>0.88662672259088837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35405.290017064362</v>
      </c>
      <c r="T32" s="233">
        <f t="shared" si="50"/>
        <v>33211.139263104429</v>
      </c>
      <c r="V32" s="56"/>
      <c r="W32" s="110"/>
      <c r="X32" s="118"/>
      <c r="Y32" s="115">
        <f>SUM(Y6:Y31)</f>
        <v>4</v>
      </c>
      <c r="Z32" s="137"/>
      <c r="AA32" s="138">
        <f>SUM(AA6:AA30)</f>
        <v>0.63249142029632877</v>
      </c>
      <c r="AB32" s="137"/>
      <c r="AC32" s="139">
        <f>SUM(AC6:AC30)</f>
        <v>6.5918498554367044E-3</v>
      </c>
      <c r="AD32" s="137"/>
      <c r="AE32" s="139">
        <f>SUM(AE6:AE30)</f>
        <v>-1.6727360720849571E-3</v>
      </c>
      <c r="AF32" s="137"/>
      <c r="AG32" s="139">
        <f>SUM(AG6:AG30)</f>
        <v>-0.78660479549483264</v>
      </c>
      <c r="AH32" s="127"/>
      <c r="AI32" s="110"/>
      <c r="AJ32" s="140">
        <f>SUM(AJ6:AJ31)</f>
        <v>0.99999999999999989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0.27849204117943349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473.21926310442268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1888</v>
      </c>
      <c r="J37" s="38">
        <f t="shared" ref="J37:J49" si="53">J91*I$83</f>
        <v>1887.9999999999998</v>
      </c>
      <c r="K37" s="40">
        <f t="shared" ref="K37:K49" si="54">(B37/B$65)</f>
        <v>2.9459419649432907E-2</v>
      </c>
      <c r="L37" s="22">
        <f t="shared" ref="L37:L49" si="55">(K37*H37)</f>
        <v>2.7809692149064664E-2</v>
      </c>
      <c r="M37" s="24">
        <f t="shared" ref="M37:M49" si="56">J37/B$65</f>
        <v>2.780969214906466E-2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4.4189129474149361E-3</v>
      </c>
      <c r="L40" s="22">
        <f t="shared" si="55"/>
        <v>6.743261157755193E-3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1.4729709824716454E-2</v>
      </c>
      <c r="L43" s="22">
        <f t="shared" si="55"/>
        <v>2.0621593754603033E-2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1.3256738842244807E-2</v>
      </c>
      <c r="L44" s="22">
        <f t="shared" si="55"/>
        <v>1.8559434379142731E-2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2.5776992193253792E-3</v>
      </c>
      <c r="L45" s="22">
        <f t="shared" si="55"/>
        <v>3.6087789070555305E-3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3761.2499999999995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5.5402121078214753E-2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940.31249999999989</v>
      </c>
      <c r="AB47" s="116">
        <v>0.25</v>
      </c>
      <c r="AC47" s="147">
        <f t="shared" si="65"/>
        <v>940.31249999999989</v>
      </c>
      <c r="AD47" s="116">
        <v>0.25</v>
      </c>
      <c r="AE47" s="147">
        <f t="shared" si="66"/>
        <v>940.31249999999989</v>
      </c>
      <c r="AF47" s="122">
        <f t="shared" si="57"/>
        <v>0.25</v>
      </c>
      <c r="AG47" s="147">
        <f t="shared" si="60"/>
        <v>940.31249999999989</v>
      </c>
      <c r="AH47" s="123">
        <f t="shared" si="61"/>
        <v>1</v>
      </c>
      <c r="AI47" s="112">
        <f t="shared" si="61"/>
        <v>3761.2499999999995</v>
      </c>
      <c r="AJ47" s="148">
        <f t="shared" si="62"/>
        <v>1880.6249999999998</v>
      </c>
      <c r="AK47" s="147">
        <f t="shared" si="63"/>
        <v>1880.6249999999998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1592.9999999999998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2.3464427750773308E-2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398.24999999999994</v>
      </c>
      <c r="AB48" s="116">
        <v>0.25</v>
      </c>
      <c r="AC48" s="147">
        <f t="shared" si="65"/>
        <v>398.24999999999994</v>
      </c>
      <c r="AD48" s="116">
        <v>0.25</v>
      </c>
      <c r="AE48" s="147">
        <f t="shared" si="66"/>
        <v>398.24999999999994</v>
      </c>
      <c r="AF48" s="122">
        <f t="shared" si="57"/>
        <v>0.25</v>
      </c>
      <c r="AG48" s="147">
        <f t="shared" si="60"/>
        <v>398.24999999999994</v>
      </c>
      <c r="AH48" s="123">
        <f t="shared" si="61"/>
        <v>1</v>
      </c>
      <c r="AI48" s="112">
        <f t="shared" si="61"/>
        <v>1592.9999999999998</v>
      </c>
      <c r="AJ48" s="148">
        <f t="shared" si="62"/>
        <v>796.49999999999989</v>
      </c>
      <c r="AK48" s="147">
        <f t="shared" si="63"/>
        <v>796.49999999999989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2314.3500000000004</v>
      </c>
      <c r="J49" s="38">
        <f t="shared" si="53"/>
        <v>2314.35</v>
      </c>
      <c r="K49" s="40">
        <f t="shared" si="54"/>
        <v>3.0711444984533806E-2</v>
      </c>
      <c r="L49" s="22">
        <f t="shared" si="55"/>
        <v>3.4089703932832525E-2</v>
      </c>
      <c r="M49" s="24">
        <f t="shared" si="56"/>
        <v>3.4089703932832519E-2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578.58749999999998</v>
      </c>
      <c r="AB49" s="116">
        <v>0.25</v>
      </c>
      <c r="AC49" s="147">
        <f t="shared" si="65"/>
        <v>578.58749999999998</v>
      </c>
      <c r="AD49" s="116">
        <v>0.25</v>
      </c>
      <c r="AE49" s="147">
        <f t="shared" si="66"/>
        <v>578.58749999999998</v>
      </c>
      <c r="AF49" s="122">
        <f t="shared" si="57"/>
        <v>0.25</v>
      </c>
      <c r="AG49" s="147">
        <f t="shared" si="60"/>
        <v>578.58749999999998</v>
      </c>
      <c r="AH49" s="123">
        <f t="shared" si="61"/>
        <v>1</v>
      </c>
      <c r="AI49" s="112">
        <f t="shared" si="61"/>
        <v>2314.35</v>
      </c>
      <c r="AJ49" s="148">
        <f t="shared" si="62"/>
        <v>1157.175</v>
      </c>
      <c r="AK49" s="147">
        <f t="shared" si="63"/>
        <v>1157.175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1598.4</v>
      </c>
      <c r="J50" s="38">
        <f t="shared" ref="J50:J64" si="70">J104*I$83</f>
        <v>1598.4</v>
      </c>
      <c r="K50" s="40">
        <f t="shared" ref="K50:K64" si="71">(B50/B$65)</f>
        <v>2.1210782147591693E-2</v>
      </c>
      <c r="L50" s="22">
        <f t="shared" ref="L50:L64" si="72">(K50*H50)</f>
        <v>2.3543968183826782E-2</v>
      </c>
      <c r="M50" s="24">
        <f t="shared" ref="M50:M64" si="73">J50/B$65</f>
        <v>2.3543968183826779E-2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11721.6</v>
      </c>
      <c r="J51" s="38">
        <f t="shared" si="70"/>
        <v>11721.6</v>
      </c>
      <c r="K51" s="40">
        <f t="shared" si="71"/>
        <v>0.15554573574900574</v>
      </c>
      <c r="L51" s="22">
        <f t="shared" si="72"/>
        <v>0.17265576668139637</v>
      </c>
      <c r="M51" s="24">
        <f t="shared" si="73"/>
        <v>0.17265576668139637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0.8</v>
      </c>
      <c r="F52" s="26">
        <v>1.18</v>
      </c>
      <c r="G52" s="22">
        <f t="shared" si="59"/>
        <v>1.65</v>
      </c>
      <c r="H52" s="24">
        <f t="shared" si="68"/>
        <v>0.94399999999999995</v>
      </c>
      <c r="I52" s="39">
        <f t="shared" si="69"/>
        <v>13593.599999999999</v>
      </c>
      <c r="J52" s="38">
        <f t="shared" si="70"/>
        <v>13593.599999999999</v>
      </c>
      <c r="K52" s="40">
        <f t="shared" si="71"/>
        <v>0.21210782147591692</v>
      </c>
      <c r="L52" s="22">
        <f t="shared" si="72"/>
        <v>0.20022978347326556</v>
      </c>
      <c r="M52" s="24">
        <f t="shared" si="73"/>
        <v>0.20022978347326556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6163.2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9.0782147591692439E-2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0.29783473265576665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48867.639999999992</v>
      </c>
      <c r="J65" s="39">
        <f>SUM(J37:J64)</f>
        <v>48867.639999999992</v>
      </c>
      <c r="K65" s="40">
        <f>SUM(K37:K64)</f>
        <v>1</v>
      </c>
      <c r="L65" s="22">
        <f>SUM(L37:L64)</f>
        <v>0.72258344380615702</v>
      </c>
      <c r="M65" s="24">
        <f>SUM(M37:M64)</f>
        <v>0.71980615701870665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5363.7099999999991</v>
      </c>
      <c r="AB65" s="137"/>
      <c r="AC65" s="153">
        <f>SUM(AC37:AC64)</f>
        <v>3475.7099999999991</v>
      </c>
      <c r="AD65" s="137"/>
      <c r="AE65" s="153">
        <f>SUM(AE37:AE64)</f>
        <v>3475.7099999999991</v>
      </c>
      <c r="AF65" s="137"/>
      <c r="AG65" s="153">
        <f>SUM(AG37:AG64)</f>
        <v>3475.7099999999991</v>
      </c>
      <c r="AH65" s="137"/>
      <c r="AI65" s="153">
        <f>SUM(AI37:AI64)</f>
        <v>15790.839999999997</v>
      </c>
      <c r="AJ65" s="153">
        <f>SUM(AJ37:AJ64)</f>
        <v>8839.4199999999983</v>
      </c>
      <c r="AK65" s="153">
        <f>SUM(AK37:AK64)</f>
        <v>6951.4199999999983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19469.326764227124</v>
      </c>
      <c r="J71" s="51">
        <f t="shared" si="75"/>
        <v>19469.326764227124</v>
      </c>
      <c r="K71" s="40">
        <f t="shared" ref="K71:K72" si="78">B71/B$76</f>
        <v>0.25303677517552908</v>
      </c>
      <c r="L71" s="22">
        <f t="shared" si="76"/>
        <v>0.28955482050710163</v>
      </c>
      <c r="M71" s="24">
        <f t="shared" ref="M71:M72" si="79">J71/B$76</f>
        <v>0.28677753371965126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19469.326764227124</v>
      </c>
      <c r="J74" s="51">
        <f t="shared" si="75"/>
        <v>-328.28063933511288</v>
      </c>
      <c r="K74" s="40">
        <f>B74/B$76</f>
        <v>6.7874502872293421E-2</v>
      </c>
      <c r="L74" s="22">
        <f t="shared" si="76"/>
        <v>2.8454560246185482E-2</v>
      </c>
      <c r="M74" s="24">
        <f>J74/B$76</f>
        <v>-4.8354785584786104E-3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-1985.8683089432179</v>
      </c>
      <c r="AB74" s="156"/>
      <c r="AC74" s="147">
        <f>AC30*$I$83/4</f>
        <v>-3873.8683089432179</v>
      </c>
      <c r="AD74" s="156"/>
      <c r="AE74" s="147">
        <f>AE30*$I$83/4</f>
        <v>-3873.8683089432179</v>
      </c>
      <c r="AF74" s="156"/>
      <c r="AG74" s="147">
        <f>AG30*$I$83/4</f>
        <v>-3873.8683089432179</v>
      </c>
      <c r="AH74" s="155"/>
      <c r="AI74" s="147">
        <f>SUM(AA74,AC74,AE74,AG74)</f>
        <v>-13607.473235772872</v>
      </c>
      <c r="AJ74" s="148">
        <f>(AA74+AC74)</f>
        <v>-5859.7366178864359</v>
      </c>
      <c r="AK74" s="147">
        <f>(AE74+AG74)</f>
        <v>-7747.7366178864359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328.28063933511572</v>
      </c>
      <c r="K75" s="40">
        <f>B75/B$76</f>
        <v>0</v>
      </c>
      <c r="L75" s="22">
        <f t="shared" si="76"/>
        <v>0</v>
      </c>
      <c r="M75" s="24">
        <f>J75/B$76</f>
        <v>4.8354785584786529E-3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48867.639999999992</v>
      </c>
      <c r="J76" s="51">
        <f t="shared" si="75"/>
        <v>48867.639999999992</v>
      </c>
      <c r="K76" s="40">
        <f>SUM(K70:K75)</f>
        <v>1.0946304586106326</v>
      </c>
      <c r="L76" s="22">
        <f>SUM(L70:L75)</f>
        <v>0.75103800405234267</v>
      </c>
      <c r="M76" s="24">
        <f>SUM(M70:M75)</f>
        <v>0.71980615701870665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5363.7099999999991</v>
      </c>
      <c r="AB76" s="137"/>
      <c r="AC76" s="153">
        <f>AC65</f>
        <v>3475.7099999999991</v>
      </c>
      <c r="AD76" s="137"/>
      <c r="AE76" s="153">
        <f>AE65</f>
        <v>3475.7099999999991</v>
      </c>
      <c r="AF76" s="137"/>
      <c r="AG76" s="153">
        <f>AG65</f>
        <v>3475.7099999999991</v>
      </c>
      <c r="AH76" s="137"/>
      <c r="AI76" s="153">
        <f>SUM(AA76,AC76,AE76,AG76)</f>
        <v>15790.839999999997</v>
      </c>
      <c r="AJ76" s="154">
        <f>SUM(AA76,AC76)</f>
        <v>8839.4199999999983</v>
      </c>
      <c r="AK76" s="154">
        <f>SUM(AE76,AG76)</f>
        <v>6951.4199999999983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75"/>
        <v>473.21926310442268</v>
      </c>
      <c r="K77" s="40"/>
      <c r="L77" s="22">
        <f>-(L131*G$37*F$9/F$7)/B$130</f>
        <v>-0.29858339470712431</v>
      </c>
      <c r="M77" s="24">
        <f>-J77/B$76</f>
        <v>-6.9703824289942947E-3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1176.1843151358903</v>
      </c>
      <c r="AB77" s="112"/>
      <c r="AC77" s="111">
        <f>AC31*$I$83/4</f>
        <v>3179.3300871242836</v>
      </c>
      <c r="AD77" s="112"/>
      <c r="AE77" s="111">
        <f>AE31*$I$83/4</f>
        <v>3205.7802895845412</v>
      </c>
      <c r="AF77" s="112"/>
      <c r="AG77" s="111">
        <f>AG31*$I$83/4</f>
        <v>5717.8979045930428</v>
      </c>
      <c r="AH77" s="110"/>
      <c r="AI77" s="154">
        <f>SUM(AA77,AC77,AE77,AG77)</f>
        <v>13279.192596437759</v>
      </c>
      <c r="AJ77" s="153">
        <f>SUM(AA77,AC77)</f>
        <v>4355.5144022601744</v>
      </c>
      <c r="AK77" s="160">
        <f>SUM(AE77,AG77)</f>
        <v>8923.6781941775844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-1985.8683089432179</v>
      </c>
      <c r="AB79" s="112"/>
      <c r="AC79" s="112">
        <f>AA79-AA74+AC65-AC70</f>
        <v>-3873.8683089432179</v>
      </c>
      <c r="AD79" s="112"/>
      <c r="AE79" s="112">
        <f>AC79-AC74+AE65-AE70</f>
        <v>-3873.8683089432179</v>
      </c>
      <c r="AF79" s="112"/>
      <c r="AG79" s="112">
        <f>AE79-AE74+AG65-AG70</f>
        <v>-3873.8683089432179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0.57212121212121214</v>
      </c>
      <c r="I91" s="22">
        <f t="shared" ref="I91" si="82">(D91*H91)</f>
        <v>0.1474803288803351</v>
      </c>
      <c r="J91" s="24">
        <f>IF(I$32&lt;=1+I$131,I91,L91+J$33*(I91-L91))</f>
        <v>0.1474803288803351</v>
      </c>
      <c r="K91" s="22">
        <f t="shared" ref="K91" si="83">IF(B91="",0,B91)</f>
        <v>0.25777811721668742</v>
      </c>
      <c r="L91" s="22">
        <f t="shared" ref="L91" si="84">(K91*H91)</f>
        <v>0.1474803288803351</v>
      </c>
      <c r="M91" s="226">
        <f t="shared" si="80"/>
        <v>0.1474803288803351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3.8666717582503111E-2</v>
      </c>
      <c r="L94" s="22">
        <f t="shared" si="91"/>
        <v>3.5760855170242273E-2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0.12888905860834371</v>
      </c>
      <c r="L97" s="22">
        <f t="shared" si="91"/>
        <v>0.10936041336465527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0.11600015274750934</v>
      </c>
      <c r="L98" s="22">
        <f t="shared" si="91"/>
        <v>9.8424372028189752E-2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2.2555585256460151E-2</v>
      </c>
      <c r="L99" s="22">
        <f t="shared" si="91"/>
        <v>1.9138072338814673E-2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0.2938084676912926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0.2938084676912926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0.12443652749278275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0.12443652749278275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0.67272727272727284</v>
      </c>
      <c r="I103" s="22">
        <f t="shared" si="88"/>
        <v>0.1807844804789214</v>
      </c>
      <c r="J103" s="24">
        <f t="shared" si="89"/>
        <v>0.1807844804789214</v>
      </c>
      <c r="K103" s="22">
        <f t="shared" si="90"/>
        <v>0.26873368719839663</v>
      </c>
      <c r="L103" s="22">
        <f t="shared" si="91"/>
        <v>0.1807844804789214</v>
      </c>
      <c r="M103" s="226">
        <f t="shared" si="92"/>
        <v>0.1807844804789214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0.67272727272727284</v>
      </c>
      <c r="I104" s="22">
        <f t="shared" si="88"/>
        <v>0.12485834623004644</v>
      </c>
      <c r="J104" s="24">
        <f t="shared" si="89"/>
        <v>0.12485834623004644</v>
      </c>
      <c r="K104" s="22">
        <f t="shared" si="90"/>
        <v>0.18560024439601494</v>
      </c>
      <c r="L104" s="22">
        <f t="shared" si="91"/>
        <v>0.12485834623004644</v>
      </c>
      <c r="M104" s="226">
        <f t="shared" si="92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0.67272727272727284</v>
      </c>
      <c r="I105" s="22">
        <f t="shared" si="88"/>
        <v>0.91562787235367382</v>
      </c>
      <c r="J105" s="24">
        <f t="shared" si="89"/>
        <v>0.91562787235367382</v>
      </c>
      <c r="K105" s="22">
        <f t="shared" si="90"/>
        <v>1.3610684589041095</v>
      </c>
      <c r="L105" s="22">
        <f t="shared" si="91"/>
        <v>0.91562787235367382</v>
      </c>
      <c r="M105" s="226">
        <f t="shared" si="92"/>
        <v>0.91562787235367382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0.57212121212121214</v>
      </c>
      <c r="I106" s="22">
        <f t="shared" si="88"/>
        <v>1.0618583679384128</v>
      </c>
      <c r="J106" s="24">
        <f t="shared" si="89"/>
        <v>1.0618583679384128</v>
      </c>
      <c r="K106" s="22">
        <f t="shared" si="90"/>
        <v>1.8560024439601495</v>
      </c>
      <c r="L106" s="22">
        <f t="shared" si="91"/>
        <v>1.0618583679384128</v>
      </c>
      <c r="M106" s="226">
        <f t="shared" si="92"/>
        <v>1.0618583679384128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0.48143578546360244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0.48143578546360244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2.6061367650607101</v>
      </c>
      <c r="L110" s="22">
        <f t="shared" si="91"/>
        <v>0</v>
      </c>
      <c r="M110" s="226">
        <f t="shared" si="9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3.817275221825116</v>
      </c>
      <c r="J119" s="24">
        <f>SUM(J91:J118)</f>
        <v>3.817275221825116</v>
      </c>
      <c r="K119" s="22">
        <f>SUM(K91:K118)</f>
        <v>8.7502781889204542</v>
      </c>
      <c r="L119" s="22">
        <f>SUM(L91:L118)</f>
        <v>3.8320037260679061</v>
      </c>
      <c r="M119" s="57">
        <f t="shared" si="80"/>
        <v>3.817275221825116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1.5208383020481606</v>
      </c>
      <c r="J125" s="236">
        <f>IF(SUMPRODUCT($B$124:$B125,$H$124:$H125)&lt;J$119,($B125*$H125),IF(SUMPRODUCT($B$124:$B124,$H$124:$H124)&lt;J$119,J$119-SUMPRODUCT($B$124:$B124,$H$124:$H124),0))</f>
        <v>1.5208383020481606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1.5355668062909507</v>
      </c>
      <c r="M125" s="239">
        <f t="shared" si="93"/>
        <v>1.5208383020481606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1.5208383020481606</v>
      </c>
      <c r="J128" s="227">
        <f>(J30)</f>
        <v>-2.5643504583786614E-2</v>
      </c>
      <c r="K128" s="29">
        <f>(B128)</f>
        <v>0.59392078206724785</v>
      </c>
      <c r="L128" s="29">
        <f>IF(L124=L119,0,(L119-L124)/(B119-B124)*K128)</f>
        <v>0.15090019266516355</v>
      </c>
      <c r="M128" s="239">
        <f t="shared" si="93"/>
        <v>-2.5643504583786614E-2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2.5643504583786836E-2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2.5643504583786836E-2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3.817275221825116</v>
      </c>
      <c r="J130" s="227">
        <f>(J119)</f>
        <v>3.817275221825116</v>
      </c>
      <c r="K130" s="29">
        <f>(B130)</f>
        <v>8.7502781889204542</v>
      </c>
      <c r="L130" s="29">
        <f>(L119)</f>
        <v>3.8320037260679061</v>
      </c>
      <c r="M130" s="239">
        <f t="shared" si="93"/>
        <v>3.817275221825116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3.6965324446583736E-2</v>
      </c>
      <c r="K131" s="29"/>
      <c r="L131" s="29">
        <f>IF(I131&lt;SUM(L126:L127),0,I131-(SUM(L126:L127)))</f>
        <v>1.5834471310785316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1.4077658779576584E-2</v>
      </c>
      <c r="J6" s="24">
        <f t="shared" ref="J6:J13" si="3">IF(I$32&lt;=1+I$131,I6,B6*H6+J$33*(I6-B6*H6))</f>
        <v>1.4077658779576584E-2</v>
      </c>
      <c r="K6" s="22">
        <f t="shared" ref="K6:K31" si="4">B6</f>
        <v>2.8155317559153167E-2</v>
      </c>
      <c r="L6" s="22">
        <f t="shared" ref="L6:L29" si="5">IF(K6="","",K6*H6)</f>
        <v>1.4077658779576584E-2</v>
      </c>
      <c r="M6" s="223">
        <f t="shared" ref="M6:M31" si="6">J6</f>
        <v>1.4077658779576584E-2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5.6310635118306335E-2</v>
      </c>
      <c r="Z6" s="156">
        <f>Poor!Z6</f>
        <v>0.17</v>
      </c>
      <c r="AA6" s="121">
        <f>$M6*Z6*4</f>
        <v>9.5728079701120784E-3</v>
      </c>
      <c r="AB6" s="156">
        <f>Poor!AB6</f>
        <v>0.17</v>
      </c>
      <c r="AC6" s="121">
        <f t="shared" ref="AC6:AC29" si="7">$M6*AB6*4</f>
        <v>9.5728079701120784E-3</v>
      </c>
      <c r="AD6" s="156">
        <f>Poor!AD6</f>
        <v>0.33</v>
      </c>
      <c r="AE6" s="121">
        <f t="shared" ref="AE6:AE29" si="8">$M6*AD6*4</f>
        <v>1.8582509589041091E-2</v>
      </c>
      <c r="AF6" s="122">
        <f>1-SUM(Z6,AB6,AD6)</f>
        <v>0.32999999999999996</v>
      </c>
      <c r="AG6" s="121">
        <f>$M6*AF6*4</f>
        <v>1.8582509589041087E-2</v>
      </c>
      <c r="AH6" s="123">
        <f>SUM(Z6,AB6,AD6,AF6)</f>
        <v>1</v>
      </c>
      <c r="AI6" s="183">
        <f>SUM(AA6,AC6,AE6,AG6)/4</f>
        <v>1.4077658779576584E-2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1.8770211706102116E-2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6653.114473321586</v>
      </c>
      <c r="T7" s="221">
        <f>IF($B$81=0,0,(SUMIF($N$6:$N$28,$U7,M$6:M$28)+SUMIF($N$91:$N$118,$U7,M$91:M$118))*$I$83*Poor!$B$81/$B$81)</f>
        <v>10229.996934657667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3">
        <f t="shared" si="6"/>
        <v>2.9532125622665005E-3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7676.1999999999989</v>
      </c>
      <c r="T8" s="221">
        <f>IF($B$81=0,0,(SUMIF($N$6:$N$28,$U8,M$6:M$28)+SUMIF($N$91:$N$118,$U8,M$91:M$118))*$I$83*Poor!$B$81/$B$81)</f>
        <v>2476.2445739542432</v>
      </c>
      <c r="U8" s="222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0.25909794718142298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3.0606852498945621E-3</v>
      </c>
      <c r="AB8" s="125">
        <f>IF($Y8=0,0,AC8/$Y8)</f>
        <v>0.26729406829902108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3.1575048012799562E-3</v>
      </c>
      <c r="AD8" s="125">
        <f>IF($Y8=0,0,AE8/$Y8)</f>
        <v>0.26885340543986769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3.1759250174125835E-3</v>
      </c>
      <c r="AF8" s="122">
        <f t="shared" si="10"/>
        <v>0.2047545790796883</v>
      </c>
      <c r="AG8" s="121">
        <f t="shared" si="11"/>
        <v>2.4187351804789005E-3</v>
      </c>
      <c r="AH8" s="123">
        <f t="shared" si="12"/>
        <v>1</v>
      </c>
      <c r="AI8" s="183">
        <f t="shared" si="13"/>
        <v>2.9532125622665005E-3</v>
      </c>
      <c r="AJ8" s="120">
        <f t="shared" si="14"/>
        <v>3.109095025587259E-3</v>
      </c>
      <c r="AK8" s="119">
        <f t="shared" si="15"/>
        <v>2.797330098945742E-3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338.16960758493536</v>
      </c>
      <c r="T9" s="221">
        <f>IF($B$81=0,0,(SUMIF($N$6:$N$28,$U9,M$6:M$28)+SUMIF($N$91:$N$118,$U9,M$91:M$118))*$I$83*Poor!$B$81/$B$81)</f>
        <v>338.16960758493536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0.50930378784246577</v>
      </c>
      <c r="J10" s="24">
        <f t="shared" si="3"/>
        <v>0.47729664730193094</v>
      </c>
      <c r="K10" s="22">
        <f t="shared" si="4"/>
        <v>0.32530145547945205</v>
      </c>
      <c r="L10" s="22">
        <f t="shared" si="5"/>
        <v>0.35457858647260276</v>
      </c>
      <c r="M10" s="223">
        <f t="shared" si="6"/>
        <v>0.47729664730193094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1.9091865892077238</v>
      </c>
      <c r="Z10" s="125">
        <f>IF($Y10=0,0,AA10/$Y10)</f>
        <v>0.25909794718142298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0.49466632605002392</v>
      </c>
      <c r="AB10" s="125">
        <f>IF($Y10=0,0,AC10/$Y10)</f>
        <v>0.26729406829902108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0.51031425057126445</v>
      </c>
      <c r="AD10" s="125">
        <f>IF($Y10=0,0,AE10/$Y10)</f>
        <v>0.26885340543986763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0.51329131612862222</v>
      </c>
      <c r="AF10" s="122">
        <f t="shared" si="10"/>
        <v>0.2047545790796883</v>
      </c>
      <c r="AG10" s="121">
        <f t="shared" si="11"/>
        <v>0.39091469645781324</v>
      </c>
      <c r="AH10" s="123">
        <f t="shared" si="12"/>
        <v>1</v>
      </c>
      <c r="AI10" s="183">
        <f t="shared" si="13"/>
        <v>0.47729664730193089</v>
      </c>
      <c r="AJ10" s="120">
        <f t="shared" si="14"/>
        <v>0.50249028831064413</v>
      </c>
      <c r="AK10" s="119">
        <f t="shared" si="15"/>
        <v>0.45210300629321776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8.9257645704524935E-2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8.9257645704524935E-2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8307.1999999999989</v>
      </c>
      <c r="T11" s="221">
        <f>IF($B$81=0,0,(SUMIF($N$6:$N$28,$U11,M$6:M$28)+SUMIF($N$91:$N$118,$U11,M$91:M$118))*$I$83*Poor!$B$81/$B$81)</f>
        <v>9991.819951331745</v>
      </c>
      <c r="U11" s="222">
        <v>5</v>
      </c>
      <c r="V11" s="56"/>
      <c r="W11" s="115"/>
      <c r="X11" s="118">
        <f>Poor!X11</f>
        <v>1</v>
      </c>
      <c r="Y11" s="183">
        <f t="shared" si="9"/>
        <v>0.35703058281809974</v>
      </c>
      <c r="Z11" s="125">
        <f>IF($Y11=0,0,AA11/$Y11)</f>
        <v>0.25909794718142298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9.2505891089156675E-2</v>
      </c>
      <c r="AB11" s="125">
        <f>IF($Y11=0,0,AC11/$Y11)</f>
        <v>0.26729406829902108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9.5432156988620453E-2</v>
      </c>
      <c r="AD11" s="125">
        <f>IF($Y11=0,0,AE11/$Y11)</f>
        <v>0.26885340543986763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9.5988888036826814E-2</v>
      </c>
      <c r="AF11" s="122">
        <f t="shared" si="10"/>
        <v>0.2047545790796883</v>
      </c>
      <c r="AG11" s="121">
        <f t="shared" si="11"/>
        <v>7.3103646703495812E-2</v>
      </c>
      <c r="AH11" s="123">
        <f t="shared" si="12"/>
        <v>1</v>
      </c>
      <c r="AI11" s="183">
        <f t="shared" si="13"/>
        <v>8.9257645704524935E-2</v>
      </c>
      <c r="AJ11" s="120">
        <f t="shared" si="14"/>
        <v>9.3969024038888571E-2</v>
      </c>
      <c r="AK11" s="119">
        <f t="shared" si="15"/>
        <v>8.4546267370161313E-2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1.3142714453061345E-2</v>
      </c>
      <c r="K13" s="22">
        <f t="shared" si="4"/>
        <v>0</v>
      </c>
      <c r="L13" s="22">
        <f t="shared" si="5"/>
        <v>0</v>
      </c>
      <c r="M13" s="224">
        <f t="shared" si="6"/>
        <v>1.3142714453061345E-2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5.2570857812245381E-2</v>
      </c>
      <c r="Z13" s="156">
        <f>Poor!Z13</f>
        <v>1</v>
      </c>
      <c r="AA13" s="121">
        <f>$M13*Z13*4</f>
        <v>5.2570857812245381E-2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1.3142714453061345E-2</v>
      </c>
      <c r="AJ13" s="120">
        <f t="shared" si="14"/>
        <v>2.628542890612269E-2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73632</v>
      </c>
      <c r="T14" s="221">
        <f>IF($B$81=0,0,(SUMIF($N$6:$N$28,$U14,M$6:M$28)+SUMIF($N$91:$N$118,$U14,M$91:M$118))*$I$83*Poor!$B$81/$B$81)</f>
        <v>73632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9.2235920115333353E-2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9.2235920115333353E-2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0.36894368046133341</v>
      </c>
      <c r="Z15" s="156">
        <f>Poor!Z15</f>
        <v>0.25</v>
      </c>
      <c r="AA15" s="121">
        <f t="shared" si="16"/>
        <v>9.2235920115333353E-2</v>
      </c>
      <c r="AB15" s="156">
        <f>Poor!AB15</f>
        <v>0.25</v>
      </c>
      <c r="AC15" s="121">
        <f t="shared" si="7"/>
        <v>9.2235920115333353E-2</v>
      </c>
      <c r="AD15" s="156">
        <f>Poor!AD15</f>
        <v>0.25</v>
      </c>
      <c r="AE15" s="121">
        <f t="shared" si="8"/>
        <v>9.2235920115333353E-2</v>
      </c>
      <c r="AF15" s="122">
        <f t="shared" si="10"/>
        <v>0.25</v>
      </c>
      <c r="AG15" s="121">
        <f t="shared" si="11"/>
        <v>9.2235920115333353E-2</v>
      </c>
      <c r="AH15" s="123">
        <f t="shared" si="12"/>
        <v>1</v>
      </c>
      <c r="AI15" s="183">
        <f t="shared" si="13"/>
        <v>9.2235920115333353E-2</v>
      </c>
      <c r="AJ15" s="120">
        <f t="shared" si="14"/>
        <v>9.2235920115333353E-2</v>
      </c>
      <c r="AK15" s="119">
        <f t="shared" si="15"/>
        <v>9.2235920115333353E-2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8.3138941578903225E-2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8.3138941578903225E-2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1112.2820294989149</v>
      </c>
      <c r="U16" s="222">
        <v>10</v>
      </c>
      <c r="V16" s="56"/>
      <c r="W16" s="110"/>
      <c r="X16" s="118"/>
      <c r="Y16" s="183">
        <f t="shared" si="9"/>
        <v>0.3325557663156129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0.3325557663156129</v>
      </c>
      <c r="AH16" s="123">
        <f t="shared" si="12"/>
        <v>1</v>
      </c>
      <c r="AI16" s="183">
        <f t="shared" si="13"/>
        <v>8.3138941578903225E-2</v>
      </c>
      <c r="AJ16" s="120">
        <f t="shared" si="14"/>
        <v>0</v>
      </c>
      <c r="AK16" s="119">
        <f t="shared" si="15"/>
        <v>0.16627788315780645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2.2900338082623241E-2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2.2900338082623241E-2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9.1601352330492963E-2</v>
      </c>
      <c r="Z17" s="156">
        <f>Poor!Z17</f>
        <v>0.29409999999999997</v>
      </c>
      <c r="AA17" s="121">
        <f t="shared" si="16"/>
        <v>2.6939957720397978E-2</v>
      </c>
      <c r="AB17" s="156">
        <f>Poor!AB17</f>
        <v>0.17649999999999999</v>
      </c>
      <c r="AC17" s="121">
        <f t="shared" si="7"/>
        <v>1.6167638686332007E-2</v>
      </c>
      <c r="AD17" s="156">
        <f>Poor!AD17</f>
        <v>0.23530000000000001</v>
      </c>
      <c r="AE17" s="121">
        <f t="shared" si="8"/>
        <v>2.1553798203364994E-2</v>
      </c>
      <c r="AF17" s="122">
        <f t="shared" si="10"/>
        <v>0.29410000000000003</v>
      </c>
      <c r="AG17" s="121">
        <f t="shared" si="11"/>
        <v>2.6939957720397985E-2</v>
      </c>
      <c r="AH17" s="123">
        <f t="shared" si="12"/>
        <v>1</v>
      </c>
      <c r="AI17" s="183">
        <f t="shared" si="13"/>
        <v>2.2900338082623241E-2</v>
      </c>
      <c r="AJ17" s="120">
        <f t="shared" si="14"/>
        <v>2.1553798203364991E-2</v>
      </c>
      <c r="AK17" s="119">
        <f t="shared" si="15"/>
        <v>2.4246877961881491E-2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97687.496933158298</v>
      </c>
      <c r="T23" s="179">
        <f>SUM(T7:T22)</f>
        <v>97901.3259492793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7.9583318383566401E-3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7.9583318383566401E-3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3.183332735342656E-2</v>
      </c>
      <c r="Z27" s="156">
        <f>Poor!Z27</f>
        <v>0.25</v>
      </c>
      <c r="AA27" s="121">
        <f t="shared" si="16"/>
        <v>7.9583318383566401E-3</v>
      </c>
      <c r="AB27" s="156">
        <f>Poor!AB27</f>
        <v>0.25</v>
      </c>
      <c r="AC27" s="121">
        <f t="shared" si="7"/>
        <v>7.9583318383566401E-3</v>
      </c>
      <c r="AD27" s="156">
        <f>Poor!AD27</f>
        <v>0.25</v>
      </c>
      <c r="AE27" s="121">
        <f t="shared" si="8"/>
        <v>7.9583318383566401E-3</v>
      </c>
      <c r="AF27" s="122">
        <f t="shared" si="10"/>
        <v>0.25</v>
      </c>
      <c r="AG27" s="121">
        <f t="shared" si="11"/>
        <v>7.9583318383566401E-3</v>
      </c>
      <c r="AH27" s="123">
        <f t="shared" si="12"/>
        <v>1</v>
      </c>
      <c r="AI27" s="183">
        <f t="shared" si="13"/>
        <v>7.9583318383566401E-3</v>
      </c>
      <c r="AJ27" s="120">
        <f t="shared" si="14"/>
        <v>7.9583318383566401E-3</v>
      </c>
      <c r="AK27" s="119">
        <f t="shared" si="15"/>
        <v>7.9583318383566401E-3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0.22048922215447933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0.22048922215447933</v>
      </c>
      <c r="N29" s="228"/>
      <c r="P29" s="22"/>
      <c r="V29" s="56"/>
      <c r="W29" s="110"/>
      <c r="X29" s="118"/>
      <c r="Y29" s="183">
        <f t="shared" si="9"/>
        <v>0.88195688861791732</v>
      </c>
      <c r="Z29" s="156">
        <f>Poor!Z29</f>
        <v>0.25</v>
      </c>
      <c r="AA29" s="121">
        <f t="shared" si="16"/>
        <v>0.22048922215447933</v>
      </c>
      <c r="AB29" s="156">
        <f>Poor!AB29</f>
        <v>0.25</v>
      </c>
      <c r="AC29" s="121">
        <f t="shared" si="7"/>
        <v>0.22048922215447933</v>
      </c>
      <c r="AD29" s="156">
        <f>Poor!AD29</f>
        <v>0.25</v>
      </c>
      <c r="AE29" s="121">
        <f t="shared" si="8"/>
        <v>0.22048922215447933</v>
      </c>
      <c r="AF29" s="122">
        <f t="shared" si="10"/>
        <v>0.25</v>
      </c>
      <c r="AG29" s="121">
        <f t="shared" si="11"/>
        <v>0.22048922215447933</v>
      </c>
      <c r="AH29" s="123">
        <f t="shared" si="12"/>
        <v>1</v>
      </c>
      <c r="AI29" s="183">
        <f t="shared" si="13"/>
        <v>0.22048922215447933</v>
      </c>
      <c r="AJ29" s="120">
        <f t="shared" si="14"/>
        <v>0.22048922215447933</v>
      </c>
      <c r="AK29" s="119">
        <f t="shared" si="15"/>
        <v>0.22048922215447933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4.4476010515946056</v>
      </c>
      <c r="J30" s="230">
        <f>IF(I$32&lt;=1,I30,1-SUM(J6:J29))</f>
        <v>-6.3412700441541681E-2</v>
      </c>
      <c r="K30" s="22">
        <f t="shared" si="4"/>
        <v>0.63544987546699883</v>
      </c>
      <c r="L30" s="22">
        <f>IF(L124=L119,0,IF(K30="",0,(L119-L124)/(B119-B124)*K30))</f>
        <v>0.29452133686805465</v>
      </c>
      <c r="M30" s="175">
        <f t="shared" si="6"/>
        <v>-6.3412700441541681E-2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-0.25365080176616672</v>
      </c>
      <c r="Z30" s="122">
        <f>IF($Y30=0,0,AA30/($Y$30))</f>
        <v>-8.753948474790462E-16</v>
      </c>
      <c r="AA30" s="187">
        <f>IF(AA79*4/$I$84+SUM(AA6:AA29)&lt;1,AA79*4/$I$84,1-SUM(AA6:AA29))</f>
        <v>2.2204460492503131E-16</v>
      </c>
      <c r="AB30" s="122">
        <f>IF($Y30=0,0,AC30/($Y$30))</f>
        <v>-8.753948474790462E-16</v>
      </c>
      <c r="AC30" s="187">
        <f>IF(AC79*4/$I$84+SUM(AC6:AC29)&lt;1,AC79*4/$I$84,1-SUM(AC6:AC29))</f>
        <v>2.2204460492503131E-16</v>
      </c>
      <c r="AD30" s="122">
        <f>IF($Y30=0,0,AE30/($Y$30))</f>
        <v>-8.753948474790462E-16</v>
      </c>
      <c r="AE30" s="187">
        <f>IF(AE79*4/$I$84+SUM(AE6:AE29)&lt;1,AE79*4/$I$84,1-SUM(AE6:AE29))</f>
        <v>2.2204460492503131E-16</v>
      </c>
      <c r="AF30" s="122">
        <f>IF($Y30=0,0,AG30/($Y$30))</f>
        <v>0.85117736251096576</v>
      </c>
      <c r="AG30" s="187">
        <f>IF(AG79*4/$I$84+SUM(AG6:AG29)&lt;1,AG79*4/$I$84,1-SUM(AG6:AG29))</f>
        <v>-0.21590182044611761</v>
      </c>
      <c r="AH30" s="123">
        <f t="shared" si="12"/>
        <v>0.8511773625109631</v>
      </c>
      <c r="AI30" s="183">
        <f t="shared" si="13"/>
        <v>-5.3975455111529236E-2</v>
      </c>
      <c r="AJ30" s="120">
        <f t="shared" si="14"/>
        <v>2.2204460492503131E-16</v>
      </c>
      <c r="AK30" s="119">
        <f t="shared" si="15"/>
        <v>-0.10795091022305869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-9.3138212918801866E-2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5.5800774017430159</v>
      </c>
      <c r="J32" s="17"/>
      <c r="L32" s="22">
        <f>SUM(L6:L30)</f>
        <v>1.0931382129188019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0.793135570306848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2643.2</v>
      </c>
      <c r="J37" s="38">
        <f>J91*I$83</f>
        <v>2643.2</v>
      </c>
      <c r="K37" s="40">
        <f>(B37/B$65)</f>
        <v>2.7724144759641568E-2</v>
      </c>
      <c r="L37" s="22">
        <f t="shared" ref="L37" si="28">(K37*H37)</f>
        <v>2.6171592653101639E-2</v>
      </c>
      <c r="M37" s="24">
        <f>J37/B$65</f>
        <v>2.6171592653101636E-2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2643.2</v>
      </c>
      <c r="AH37" s="123">
        <f>SUM(Z37,AB37,AD37,AF37)</f>
        <v>1</v>
      </c>
      <c r="AI37" s="112">
        <f>SUM(AA37,AC37,AE37,AG37)</f>
        <v>2643.2</v>
      </c>
      <c r="AJ37" s="148">
        <f>(AA37+AC37)</f>
        <v>0</v>
      </c>
      <c r="AK37" s="147">
        <f>(AE37+AG37)</f>
        <v>2643.2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7080</v>
      </c>
      <c r="J38" s="38">
        <f t="shared" ref="J38:J64" si="32">J92*I$83</f>
        <v>6591.799945924161</v>
      </c>
      <c r="K38" s="40">
        <f t="shared" ref="K38:K64" si="33">(B38/B$65)</f>
        <v>4.9507401356502799E-2</v>
      </c>
      <c r="L38" s="22">
        <f t="shared" ref="L38:L64" si="34">(K38*H38)</f>
        <v>4.6734986880538641E-2</v>
      </c>
      <c r="M38" s="24">
        <f t="shared" ref="M38:M64" si="35">J38/B$65</f>
        <v>6.526857711692817E-2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6591.799945924161</v>
      </c>
      <c r="AH38" s="123">
        <f t="shared" ref="AH38:AI58" si="37">SUM(Z38,AB38,AD38,AF38)</f>
        <v>1</v>
      </c>
      <c r="AI38" s="112">
        <f t="shared" si="37"/>
        <v>6591.799945924161</v>
      </c>
      <c r="AJ38" s="148">
        <f t="shared" ref="AJ38:AJ64" si="38">(AA38+AC38)</f>
        <v>0</v>
      </c>
      <c r="AK38" s="147">
        <f t="shared" ref="AK38:AK64" si="39">(AE38+AG38)</f>
        <v>6591.799945924161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708</v>
      </c>
      <c r="J39" s="38">
        <f t="shared" si="32"/>
        <v>756.82000540758384</v>
      </c>
      <c r="K39" s="40">
        <f t="shared" si="33"/>
        <v>9.9014802713005591E-3</v>
      </c>
      <c r="L39" s="22">
        <f t="shared" si="34"/>
        <v>9.3469973761077275E-3</v>
      </c>
      <c r="M39" s="24">
        <f t="shared" si="35"/>
        <v>7.4936383524687742E-3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0.25909794718142298</v>
      </c>
      <c r="AA39" s="147">
        <f t="shared" ref="AA39:AA64" si="40">$J39*Z39</f>
        <v>196.09050978693841</v>
      </c>
      <c r="AB39" s="122">
        <f>AB8</f>
        <v>0.26729406829902108</v>
      </c>
      <c r="AC39" s="147">
        <f t="shared" ref="AC39:AC64" si="41">$J39*AB39</f>
        <v>202.29349821548021</v>
      </c>
      <c r="AD39" s="122">
        <f>AD8</f>
        <v>0.26885340543986769</v>
      </c>
      <c r="AE39" s="147">
        <f t="shared" ref="AE39:AE64" si="42">$J39*AD39</f>
        <v>203.47363575884799</v>
      </c>
      <c r="AF39" s="122">
        <f t="shared" si="29"/>
        <v>0.2047545790796883</v>
      </c>
      <c r="AG39" s="147">
        <f t="shared" si="36"/>
        <v>154.96236164631725</v>
      </c>
      <c r="AH39" s="123">
        <f t="shared" si="37"/>
        <v>1</v>
      </c>
      <c r="AI39" s="112">
        <f t="shared" si="37"/>
        <v>756.82000540758395</v>
      </c>
      <c r="AJ39" s="148">
        <f t="shared" si="38"/>
        <v>398.38400800241862</v>
      </c>
      <c r="AK39" s="147">
        <f t="shared" si="39"/>
        <v>358.43599740516527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284.10760774057491</v>
      </c>
      <c r="K40" s="40">
        <f t="shared" si="33"/>
        <v>8.9113322441705042E-3</v>
      </c>
      <c r="L40" s="22">
        <f t="shared" si="34"/>
        <v>1.3598693004604191E-2</v>
      </c>
      <c r="M40" s="24">
        <f t="shared" si="35"/>
        <v>2.8130858729697003E-3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284.10760774057491</v>
      </c>
      <c r="AH40" s="123">
        <f t="shared" si="37"/>
        <v>1</v>
      </c>
      <c r="AI40" s="112">
        <f t="shared" si="37"/>
        <v>284.10760774057491</v>
      </c>
      <c r="AJ40" s="148">
        <f t="shared" si="38"/>
        <v>0</v>
      </c>
      <c r="AK40" s="147">
        <f t="shared" si="39"/>
        <v>284.10760774057491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94.702535913524969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9.3769529098990014E-4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0.25909794718142298</v>
      </c>
      <c r="AA41" s="147">
        <f t="shared" si="40"/>
        <v>24.537232648069306</v>
      </c>
      <c r="AB41" s="122">
        <f>AB11</f>
        <v>0.26729406829902108</v>
      </c>
      <c r="AC41" s="147">
        <f t="shared" si="41"/>
        <v>25.313426102560239</v>
      </c>
      <c r="AD41" s="122">
        <f>AD11</f>
        <v>0.26885340543986763</v>
      </c>
      <c r="AE41" s="147">
        <f t="shared" si="42"/>
        <v>25.461099284142552</v>
      </c>
      <c r="AF41" s="122">
        <f t="shared" si="29"/>
        <v>0.2047545790796883</v>
      </c>
      <c r="AG41" s="147">
        <f t="shared" si="36"/>
        <v>19.390777878752871</v>
      </c>
      <c r="AH41" s="123">
        <f t="shared" si="37"/>
        <v>1</v>
      </c>
      <c r="AI41" s="112">
        <f t="shared" si="37"/>
        <v>94.702535913524969</v>
      </c>
      <c r="AJ41" s="148">
        <f t="shared" si="38"/>
        <v>49.850658750629549</v>
      </c>
      <c r="AK41" s="147">
        <f t="shared" si="39"/>
        <v>44.85187716289542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86.883060471123827</v>
      </c>
      <c r="K42" s="40">
        <f t="shared" si="33"/>
        <v>2.9704440813901676E-3</v>
      </c>
      <c r="L42" s="22">
        <f t="shared" si="34"/>
        <v>4.1586217139462341E-3</v>
      </c>
      <c r="M42" s="24">
        <f t="shared" si="35"/>
        <v>8.6027090916504609E-4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21.720765117780957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43.441530235561913</v>
      </c>
      <c r="AF42" s="122">
        <f t="shared" si="29"/>
        <v>0.25</v>
      </c>
      <c r="AG42" s="147">
        <f t="shared" si="36"/>
        <v>21.720765117780957</v>
      </c>
      <c r="AH42" s="123">
        <f t="shared" si="37"/>
        <v>1</v>
      </c>
      <c r="AI42" s="112">
        <f t="shared" si="37"/>
        <v>86.883060471123827</v>
      </c>
      <c r="AJ42" s="148">
        <f t="shared" si="38"/>
        <v>21.720765117780957</v>
      </c>
      <c r="AK42" s="147">
        <f t="shared" si="39"/>
        <v>65.16229535334287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579.22040314082562</v>
      </c>
      <c r="K43" s="40">
        <f t="shared" si="33"/>
        <v>1.9802960542601118E-2</v>
      </c>
      <c r="L43" s="22">
        <f t="shared" si="34"/>
        <v>2.7724144759641564E-2</v>
      </c>
      <c r="M43" s="24">
        <f t="shared" si="35"/>
        <v>5.7351393944336413E-3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144.80510078520641</v>
      </c>
      <c r="AB43" s="156">
        <f>Poor!AB43</f>
        <v>0.25</v>
      </c>
      <c r="AC43" s="147">
        <f t="shared" si="41"/>
        <v>144.80510078520641</v>
      </c>
      <c r="AD43" s="156">
        <f>Poor!AD43</f>
        <v>0.25</v>
      </c>
      <c r="AE43" s="147">
        <f t="shared" si="42"/>
        <v>144.80510078520641</v>
      </c>
      <c r="AF43" s="122">
        <f t="shared" si="29"/>
        <v>0.25</v>
      </c>
      <c r="AG43" s="147">
        <f t="shared" si="36"/>
        <v>144.80510078520641</v>
      </c>
      <c r="AH43" s="123">
        <f t="shared" si="37"/>
        <v>1</v>
      </c>
      <c r="AI43" s="112">
        <f t="shared" si="37"/>
        <v>579.22040314082562</v>
      </c>
      <c r="AJ43" s="148">
        <f t="shared" si="38"/>
        <v>289.61020157041281</v>
      </c>
      <c r="AK43" s="147">
        <f t="shared" si="39"/>
        <v>289.61020157041281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260.64918141337148</v>
      </c>
      <c r="K44" s="40">
        <f t="shared" si="33"/>
        <v>8.9113322441705042E-3</v>
      </c>
      <c r="L44" s="22">
        <f t="shared" si="34"/>
        <v>1.2475865141838705E-2</v>
      </c>
      <c r="M44" s="24">
        <f t="shared" si="35"/>
        <v>2.5808127274951384E-3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65.16229535334287</v>
      </c>
      <c r="AB44" s="156">
        <f>Poor!AB44</f>
        <v>0.25</v>
      </c>
      <c r="AC44" s="147">
        <f t="shared" si="41"/>
        <v>65.16229535334287</v>
      </c>
      <c r="AD44" s="156">
        <f>Poor!AD44</f>
        <v>0.25</v>
      </c>
      <c r="AE44" s="147">
        <f t="shared" si="42"/>
        <v>65.16229535334287</v>
      </c>
      <c r="AF44" s="122">
        <f t="shared" si="29"/>
        <v>0.25</v>
      </c>
      <c r="AG44" s="147">
        <f t="shared" si="36"/>
        <v>65.16229535334287</v>
      </c>
      <c r="AH44" s="123">
        <f t="shared" si="37"/>
        <v>1</v>
      </c>
      <c r="AI44" s="112">
        <f t="shared" si="37"/>
        <v>260.64918141337148</v>
      </c>
      <c r="AJ44" s="148">
        <f t="shared" si="38"/>
        <v>130.32459070668574</v>
      </c>
      <c r="AK44" s="147">
        <f t="shared" si="39"/>
        <v>130.32459070668574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50.681785274822225</v>
      </c>
      <c r="K45" s="40">
        <f t="shared" si="33"/>
        <v>1.732759047477598E-3</v>
      </c>
      <c r="L45" s="22">
        <f t="shared" si="34"/>
        <v>2.4258626664686372E-3</v>
      </c>
      <c r="M45" s="24">
        <f t="shared" si="35"/>
        <v>5.0182469701294345E-4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12.670446318705556</v>
      </c>
      <c r="AB45" s="156">
        <f>Poor!AB45</f>
        <v>0.25</v>
      </c>
      <c r="AC45" s="147">
        <f t="shared" si="41"/>
        <v>12.670446318705556</v>
      </c>
      <c r="AD45" s="156">
        <f>Poor!AD45</f>
        <v>0.25</v>
      </c>
      <c r="AE45" s="147">
        <f t="shared" si="42"/>
        <v>12.670446318705556</v>
      </c>
      <c r="AF45" s="122">
        <f t="shared" si="29"/>
        <v>0.25</v>
      </c>
      <c r="AG45" s="147">
        <f t="shared" si="36"/>
        <v>12.670446318705556</v>
      </c>
      <c r="AH45" s="123">
        <f t="shared" si="37"/>
        <v>1</v>
      </c>
      <c r="AI45" s="112">
        <f t="shared" si="37"/>
        <v>50.681785274822225</v>
      </c>
      <c r="AJ45" s="148">
        <f t="shared" si="38"/>
        <v>25.340892637411113</v>
      </c>
      <c r="AK45" s="147">
        <f t="shared" si="39"/>
        <v>25.340892637411113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1120</v>
      </c>
      <c r="J46" s="38">
        <f t="shared" si="32"/>
        <v>1120</v>
      </c>
      <c r="K46" s="40">
        <f t="shared" si="33"/>
        <v>7.9211842170404476E-3</v>
      </c>
      <c r="L46" s="22">
        <f t="shared" si="34"/>
        <v>1.1089657903856626E-2</v>
      </c>
      <c r="M46" s="24">
        <f t="shared" si="35"/>
        <v>1.1089657903856626E-2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280</v>
      </c>
      <c r="AB46" s="156">
        <f>Poor!AB46</f>
        <v>0.25</v>
      </c>
      <c r="AC46" s="147">
        <f t="shared" si="41"/>
        <v>280</v>
      </c>
      <c r="AD46" s="156">
        <f>Poor!AD46</f>
        <v>0.25</v>
      </c>
      <c r="AE46" s="147">
        <f t="shared" si="42"/>
        <v>280</v>
      </c>
      <c r="AF46" s="122">
        <f t="shared" si="29"/>
        <v>0.25</v>
      </c>
      <c r="AG46" s="147">
        <f t="shared" si="36"/>
        <v>280</v>
      </c>
      <c r="AH46" s="123">
        <f t="shared" si="37"/>
        <v>1</v>
      </c>
      <c r="AI46" s="112">
        <f t="shared" si="37"/>
        <v>1120</v>
      </c>
      <c r="AJ46" s="148">
        <f t="shared" si="38"/>
        <v>560</v>
      </c>
      <c r="AK46" s="147">
        <f t="shared" si="39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39648</v>
      </c>
      <c r="J52" s="38">
        <f t="shared" si="32"/>
        <v>39648</v>
      </c>
      <c r="K52" s="40">
        <f t="shared" si="33"/>
        <v>0.4158621713946235</v>
      </c>
      <c r="L52" s="22">
        <f t="shared" si="34"/>
        <v>0.39257388979652458</v>
      </c>
      <c r="M52" s="24">
        <f t="shared" si="35"/>
        <v>0.39257388979652458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9912</v>
      </c>
      <c r="AB52" s="156">
        <f>Poor!AB57</f>
        <v>0.25</v>
      </c>
      <c r="AC52" s="147">
        <f t="shared" si="41"/>
        <v>9912</v>
      </c>
      <c r="AD52" s="156">
        <f>Poor!AD57</f>
        <v>0.25</v>
      </c>
      <c r="AE52" s="147">
        <f t="shared" si="42"/>
        <v>9912</v>
      </c>
      <c r="AF52" s="122">
        <f t="shared" si="29"/>
        <v>0.25</v>
      </c>
      <c r="AG52" s="147">
        <f t="shared" si="36"/>
        <v>9912</v>
      </c>
      <c r="AH52" s="123">
        <f t="shared" si="37"/>
        <v>1</v>
      </c>
      <c r="AI52" s="112">
        <f t="shared" si="37"/>
        <v>39648</v>
      </c>
      <c r="AJ52" s="148">
        <f t="shared" si="38"/>
        <v>19824</v>
      </c>
      <c r="AK52" s="147">
        <f t="shared" si="39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0.35645328976682011</v>
      </c>
      <c r="L53" s="22">
        <f t="shared" si="34"/>
        <v>0.33649190553987818</v>
      </c>
      <c r="M53" s="24">
        <f t="shared" si="35"/>
        <v>0.33649190553987823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1112.2820294989149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1.1013238571205652E-2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7.5449279667310257E-2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86335.2</v>
      </c>
      <c r="J65" s="39">
        <f>SUM(J37:J64)</f>
        <v>87212.346554784905</v>
      </c>
      <c r="K65" s="40">
        <f>SUM(K37:K64)</f>
        <v>1</v>
      </c>
      <c r="L65" s="22">
        <f>SUM(L37:L64)</f>
        <v>0.89683053616515662</v>
      </c>
      <c r="M65" s="24">
        <f>SUM(M37:M64)</f>
        <v>0.86353132882603001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10656.986350010044</v>
      </c>
      <c r="AB65" s="137"/>
      <c r="AC65" s="153">
        <f>SUM(AC37:AC64)</f>
        <v>10642.244766775295</v>
      </c>
      <c r="AD65" s="137"/>
      <c r="AE65" s="153">
        <f>SUM(AE37:AE64)</f>
        <v>10687.014107735808</v>
      </c>
      <c r="AF65" s="137"/>
      <c r="AG65" s="153">
        <f>SUM(AG37:AG64)</f>
        <v>20129.819300764841</v>
      </c>
      <c r="AH65" s="137"/>
      <c r="AI65" s="153">
        <f>SUM(AI37:AI64)</f>
        <v>52116.064525285983</v>
      </c>
      <c r="AJ65" s="153">
        <f>SUM(AJ37:AJ64)</f>
        <v>21299.23111678534</v>
      </c>
      <c r="AK65" s="153">
        <f>SUM(AK37:AK64)</f>
        <v>30816.833408500646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32737.919999999998</v>
      </c>
      <c r="K72" s="40">
        <f t="shared" si="47"/>
        <v>0.27470666864696275</v>
      </c>
      <c r="L72" s="22">
        <f t="shared" si="45"/>
        <v>0.32415386900341603</v>
      </c>
      <c r="M72" s="24">
        <f t="shared" si="48"/>
        <v>0.32415386900341597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5617.0774812820955</v>
      </c>
      <c r="K73" s="40">
        <f>B73/B$76</f>
        <v>0.39992078815782961</v>
      </c>
      <c r="L73" s="22">
        <f t="shared" si="45"/>
        <v>4.3546355314917108E-2</v>
      </c>
      <c r="M73" s="24">
        <f>J73/B$76</f>
        <v>5.5617381863281308E-2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56936.886764227114</v>
      </c>
      <c r="J74" s="51">
        <f t="shared" si="44"/>
        <v>-811.79082893674274</v>
      </c>
      <c r="K74" s="40">
        <f>B74/B$76</f>
        <v>4.8816357829535556E-2</v>
      </c>
      <c r="L74" s="22">
        <f t="shared" si="45"/>
        <v>3.733230301035103E-2</v>
      </c>
      <c r="M74" s="24">
        <f>J74/B$76</f>
        <v>-8.0379308771398855E-3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2.182936403419422E-12</v>
      </c>
      <c r="AB74" s="156"/>
      <c r="AC74" s="147">
        <f>AC30*$I$84/4</f>
        <v>2.182936403419422E-12</v>
      </c>
      <c r="AD74" s="156"/>
      <c r="AE74" s="147">
        <f>AE30*$I$84/4</f>
        <v>2.182936403419422E-12</v>
      </c>
      <c r="AF74" s="156"/>
      <c r="AG74" s="147">
        <f>AG30*$I$84/4</f>
        <v>-2122.5462495496267</v>
      </c>
      <c r="AH74" s="155"/>
      <c r="AI74" s="147">
        <f>SUM(AA74,AC74,AE74,AG74)</f>
        <v>-2122.5462495496204</v>
      </c>
      <c r="AJ74" s="148">
        <f>(AA74+AC74)</f>
        <v>4.365872806838844E-12</v>
      </c>
      <c r="AK74" s="147">
        <f>(AE74+AG74)</f>
        <v>-2122.5462495496245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16778.627009573411</v>
      </c>
      <c r="AB75" s="158"/>
      <c r="AC75" s="149">
        <f>AA75+AC65-SUM(AC70,AC74)</f>
        <v>20071.293467405485</v>
      </c>
      <c r="AD75" s="158"/>
      <c r="AE75" s="149">
        <f>AC75+AE65-SUM(AE70,AE74)</f>
        <v>23408.729266198068</v>
      </c>
      <c r="AF75" s="158"/>
      <c r="AG75" s="149">
        <f>IF(SUM(AG6:AG29)+((AG65-AG70-$J$75)*4/I$83)&lt;1,0,AG65-AG70-$J$75-(1-SUM(AG6:AG29))*I$83/4)</f>
        <v>13471.21896850659</v>
      </c>
      <c r="AH75" s="134"/>
      <c r="AI75" s="149">
        <f>AI76-SUM(AI70,AI74)</f>
        <v>24840.297539062729</v>
      </c>
      <c r="AJ75" s="151">
        <f>AJ76-SUM(AJ70,AJ74)</f>
        <v>6600.074498898899</v>
      </c>
      <c r="AK75" s="149">
        <f>AJ75+AK76-SUM(AK70,AK74)</f>
        <v>24840.29753906274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86335.2</v>
      </c>
      <c r="J76" s="51">
        <f t="shared" si="44"/>
        <v>87212.34655478489</v>
      </c>
      <c r="K76" s="40">
        <f>SUM(K70:K75)</f>
        <v>1.1014571998026617</v>
      </c>
      <c r="L76" s="22">
        <f>SUM(L70:L75)</f>
        <v>0.89683053616515684</v>
      </c>
      <c r="M76" s="24">
        <f>SUM(M70:M75)</f>
        <v>0.8635313288260299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10656.986350010044</v>
      </c>
      <c r="AB76" s="137"/>
      <c r="AC76" s="153">
        <f>AC65</f>
        <v>10642.244766775295</v>
      </c>
      <c r="AD76" s="137"/>
      <c r="AE76" s="153">
        <f>AE65</f>
        <v>10687.014107735808</v>
      </c>
      <c r="AF76" s="137"/>
      <c r="AG76" s="153">
        <f>AG65</f>
        <v>20129.819300764841</v>
      </c>
      <c r="AH76" s="137"/>
      <c r="AI76" s="153">
        <f>SUM(AA76,AC76,AE76,AG76)</f>
        <v>52116.064525285983</v>
      </c>
      <c r="AJ76" s="154">
        <f>SUM(AA76,AC76)</f>
        <v>21299.23111678534</v>
      </c>
      <c r="AK76" s="154">
        <f>SUM(AE76,AG76)</f>
        <v>30816.83340850065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20270.826666666679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13471.21896850659</v>
      </c>
      <c r="AB78" s="112"/>
      <c r="AC78" s="112">
        <f>IF(AA75&lt;0,0,AA75)</f>
        <v>16778.627009573411</v>
      </c>
      <c r="AD78" s="112"/>
      <c r="AE78" s="112">
        <f>AC75</f>
        <v>20071.293467405485</v>
      </c>
      <c r="AF78" s="112"/>
      <c r="AG78" s="112">
        <f>AE75</f>
        <v>23408.729266198068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16778.627009573414</v>
      </c>
      <c r="AB79" s="112"/>
      <c r="AC79" s="112">
        <f>AA79-AA74+AC65-AC70</f>
        <v>20071.293467405489</v>
      </c>
      <c r="AD79" s="112"/>
      <c r="AE79" s="112">
        <f>AC79-AC74+AE65-AE70</f>
        <v>23408.729266198072</v>
      </c>
      <c r="AF79" s="112"/>
      <c r="AG79" s="112">
        <f>AE79-AE74+AG65-AG70</f>
        <v>36188.97025801969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0.57212121212121214</v>
      </c>
      <c r="I91" s="22">
        <f t="shared" ref="I91" si="52">(D91*H91)</f>
        <v>0.20647246043246917</v>
      </c>
      <c r="J91" s="24">
        <f>IF(I$32&lt;=1+I$131,I91,L91+J$33*(I91-L91))</f>
        <v>0.20647246043246917</v>
      </c>
      <c r="K91" s="22">
        <f t="shared" ref="K91" si="53">(B91)</f>
        <v>0.36088936410336242</v>
      </c>
      <c r="L91" s="22">
        <f t="shared" ref="L91" si="54">(K91*H91)</f>
        <v>0.20647246043246917</v>
      </c>
      <c r="M91" s="226">
        <f t="shared" si="49"/>
        <v>0.20647246043246917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0.57212121212121214</v>
      </c>
      <c r="I92" s="22">
        <f t="shared" ref="I92:I118" si="58">(D92*H92)</f>
        <v>0.55305123330125672</v>
      </c>
      <c r="J92" s="24">
        <f t="shared" ref="J92:J118" si="59">IF(I$32&lt;=1+I$131,I92,L92+J$33*(I92-L92))</f>
        <v>0.51491569064527043</v>
      </c>
      <c r="K92" s="22">
        <f t="shared" ref="K92:K118" si="60">(B92)</f>
        <v>0.6444452930417186</v>
      </c>
      <c r="L92" s="22">
        <f t="shared" ref="L92:L118" si="61">(K92*H92)</f>
        <v>0.36870082220083783</v>
      </c>
      <c r="M92" s="226">
        <f t="shared" ref="M92:M118" si="62">(J92)</f>
        <v>0.51491569064527043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0.57212121212121214</v>
      </c>
      <c r="I93" s="22">
        <f t="shared" si="58"/>
        <v>5.5305123330125668E-2</v>
      </c>
      <c r="J93" s="24">
        <f t="shared" si="59"/>
        <v>5.9118677595724298E-2</v>
      </c>
      <c r="K93" s="22">
        <f t="shared" si="60"/>
        <v>0.12888905860834371</v>
      </c>
      <c r="L93" s="22">
        <f t="shared" si="61"/>
        <v>7.3740164440167552E-2</v>
      </c>
      <c r="M93" s="226">
        <f t="shared" si="62"/>
        <v>5.9118677595724298E-2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2.2192946730394722E-2</v>
      </c>
      <c r="K94" s="22">
        <f t="shared" si="60"/>
        <v>0.11600015274750934</v>
      </c>
      <c r="L94" s="22">
        <f t="shared" si="61"/>
        <v>0.10728256551072683</v>
      </c>
      <c r="M94" s="226">
        <f t="shared" si="62"/>
        <v>2.2192946730394722E-2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7.397648910131574E-3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7.397648910131574E-3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6.7868338625060309E-3</v>
      </c>
      <c r="K96" s="22">
        <f t="shared" si="60"/>
        <v>3.8666717582503111E-2</v>
      </c>
      <c r="L96" s="22">
        <f t="shared" si="61"/>
        <v>3.2808124009396582E-2</v>
      </c>
      <c r="M96" s="226">
        <f t="shared" si="62"/>
        <v>6.7868338625060309E-3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4.5245559083373549E-2</v>
      </c>
      <c r="K97" s="22">
        <f t="shared" si="60"/>
        <v>0.25777811721668742</v>
      </c>
      <c r="L97" s="22">
        <f t="shared" si="61"/>
        <v>0.21872082672931054</v>
      </c>
      <c r="M97" s="226">
        <f t="shared" si="62"/>
        <v>4.5245559083373549E-2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2.0360501587518093E-2</v>
      </c>
      <c r="K98" s="22">
        <f t="shared" si="60"/>
        <v>0.11600015274750934</v>
      </c>
      <c r="L98" s="22">
        <f t="shared" si="61"/>
        <v>9.8424372028189752E-2</v>
      </c>
      <c r="M98" s="226">
        <f t="shared" si="62"/>
        <v>2.0360501587518093E-2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3.9589864197951841E-3</v>
      </c>
      <c r="K99" s="22">
        <f t="shared" si="60"/>
        <v>2.2555585256460151E-2</v>
      </c>
      <c r="L99" s="22">
        <f t="shared" si="61"/>
        <v>1.9138072338814673E-2</v>
      </c>
      <c r="M99" s="226">
        <f t="shared" si="62"/>
        <v>3.9589864197951841E-3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0.84848484848484851</v>
      </c>
      <c r="I100" s="22">
        <f t="shared" si="58"/>
        <v>8.7488330691724223E-2</v>
      </c>
      <c r="J100" s="24">
        <f t="shared" si="59"/>
        <v>8.7488330691724223E-2</v>
      </c>
      <c r="K100" s="22">
        <f t="shared" si="60"/>
        <v>0.10311124688667497</v>
      </c>
      <c r="L100" s="22">
        <f t="shared" si="61"/>
        <v>8.7488330691724223E-2</v>
      </c>
      <c r="M100" s="226">
        <f t="shared" si="62"/>
        <v>8.7488330691724223E-2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0.67272727272727284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0.67272727272727284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0.57212121212121214</v>
      </c>
      <c r="I106" s="22">
        <f t="shared" si="58"/>
        <v>3.0970869064870374</v>
      </c>
      <c r="J106" s="24">
        <f t="shared" si="59"/>
        <v>3.0970869064870374</v>
      </c>
      <c r="K106" s="22">
        <f t="shared" si="60"/>
        <v>5.4133404615504359</v>
      </c>
      <c r="L106" s="22">
        <f t="shared" si="61"/>
        <v>3.0970869064870374</v>
      </c>
      <c r="M106" s="226">
        <f t="shared" si="62"/>
        <v>3.0970869064870374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0.57212121212121214</v>
      </c>
      <c r="I107" s="22">
        <f t="shared" si="58"/>
        <v>2.6546459198460322</v>
      </c>
      <c r="J107" s="24">
        <f t="shared" si="59"/>
        <v>2.6546459198460322</v>
      </c>
      <c r="K107" s="22">
        <f t="shared" si="60"/>
        <v>4.6400061099003738</v>
      </c>
      <c r="L107" s="22">
        <f t="shared" si="61"/>
        <v>2.6546459198460322</v>
      </c>
      <c r="M107" s="226">
        <f t="shared" si="62"/>
        <v>2.6546459198460322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8.6885444660056446E-2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8.6885444660056446E-2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0.98213462659557915</v>
      </c>
      <c r="L110" s="22">
        <f t="shared" si="61"/>
        <v>0</v>
      </c>
      <c r="M110" s="226">
        <f t="shared" si="6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6.7440379713715615</v>
      </c>
      <c r="J119" s="24">
        <f>SUM(J91:J118)</f>
        <v>6.8125559069520332</v>
      </c>
      <c r="K119" s="22">
        <f>SUM(K91:K118)</f>
        <v>13.017150474149673</v>
      </c>
      <c r="L119" s="22">
        <f>SUM(L91:L118)</f>
        <v>7.0752594176207131</v>
      </c>
      <c r="M119" s="57">
        <f t="shared" si="49"/>
        <v>6.8125559069520332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65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0.43877565375307626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0.34354512711215968</v>
      </c>
      <c r="M127" s="57">
        <f t="shared" si="63"/>
        <v>0.43877565375307626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4.4476010515946056</v>
      </c>
      <c r="J128" s="227">
        <f>(J30)</f>
        <v>-6.3412700441541681E-2</v>
      </c>
      <c r="K128" s="22">
        <f>(B128)</f>
        <v>0.63544987546699883</v>
      </c>
      <c r="L128" s="22">
        <f>IF(L124=L119,0,(L119-L124)/(B119-B124)*K128)</f>
        <v>0.29452133686805465</v>
      </c>
      <c r="M128" s="57">
        <f t="shared" si="63"/>
        <v>-6.3412700441541681E-2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6.7440379713715615</v>
      </c>
      <c r="J130" s="227">
        <f>(J119)</f>
        <v>6.8125559069520332</v>
      </c>
      <c r="K130" s="22">
        <f>(B130)</f>
        <v>13.017150474149673</v>
      </c>
      <c r="L130" s="22">
        <f>(L119)</f>
        <v>7.0752594176207131</v>
      </c>
      <c r="M130" s="57">
        <f t="shared" si="63"/>
        <v>6.8125559069520332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4.8266258672834017E-2</v>
      </c>
      <c r="J6" s="24">
        <f t="shared" ref="J6:J13" si="3">IF(I$32&lt;=1+I$131,I6,B6*H6+J$33*(I6-B6*H6))</f>
        <v>4.8266258672834017E-2</v>
      </c>
      <c r="K6" s="22">
        <f t="shared" ref="K6:K31" si="4">B6</f>
        <v>9.6532517345668034E-2</v>
      </c>
      <c r="L6" s="22">
        <f t="shared" ref="L6:L29" si="5">IF(K6="","",K6*H6)</f>
        <v>4.8266258672834017E-2</v>
      </c>
      <c r="M6" s="177">
        <f t="shared" ref="M6:M31" si="6">J6</f>
        <v>4.8266258672834017E-2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0.19306503469133607</v>
      </c>
      <c r="Z6" s="156">
        <f>Poor!Z6</f>
        <v>0.17</v>
      </c>
      <c r="AA6" s="121">
        <f>$M6*Z6*4</f>
        <v>3.2821055897527131E-2</v>
      </c>
      <c r="AB6" s="156">
        <f>Poor!AB6</f>
        <v>0.17</v>
      </c>
      <c r="AC6" s="121">
        <f t="shared" ref="AC6:AC29" si="7">$M6*AB6*4</f>
        <v>3.2821055897527131E-2</v>
      </c>
      <c r="AD6" s="156">
        <f>Poor!AD6</f>
        <v>0.33</v>
      </c>
      <c r="AE6" s="121">
        <f t="shared" ref="AE6:AE29" si="8">$M6*AD6*4</f>
        <v>6.371146144814091E-2</v>
      </c>
      <c r="AF6" s="122">
        <f>1-SUM(Z6,AB6,AD6)</f>
        <v>0.32999999999999996</v>
      </c>
      <c r="AG6" s="121">
        <f>$M6*AF6*4</f>
        <v>6.3711461448140896E-2</v>
      </c>
      <c r="AH6" s="123">
        <f>SUM(Z6,AB6,AD6,AF6)</f>
        <v>1</v>
      </c>
      <c r="AI6" s="183">
        <f>SUM(AA6,AC6,AE6,AG6)/4</f>
        <v>4.8266258672834017E-2</v>
      </c>
      <c r="AJ6" s="120">
        <f>(AA6+AC6)/2</f>
        <v>3.2821055897527131E-2</v>
      </c>
      <c r="AK6" s="119">
        <f>(AE6+AG6)/2</f>
        <v>6.371146144814091E-2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3.2177505781889333E-2</v>
      </c>
      <c r="J7" s="24">
        <f t="shared" si="3"/>
        <v>3.2177505781889333E-2</v>
      </c>
      <c r="K7" s="22">
        <f t="shared" si="4"/>
        <v>6.4355011563778666E-2</v>
      </c>
      <c r="L7" s="22">
        <f t="shared" si="5"/>
        <v>3.2177505781889333E-2</v>
      </c>
      <c r="M7" s="177">
        <f t="shared" si="6"/>
        <v>3.2177505781889333E-2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4250.7908558120853</v>
      </c>
      <c r="T7" s="221">
        <f>IF($B$81=0,0,(SUMIF($N$6:$N$28,$U7,M$6:M$28)+SUMIF($N$91:$N$118,$U7,M$91:M$118))*$I$83*Poor!$B$81/$B$81)</f>
        <v>4081.2639721778764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0.12871002312755733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0.12871002312755733</v>
      </c>
      <c r="AH7" s="123">
        <f t="shared" ref="AH7:AH30" si="12">SUM(Z7,AB7,AD7,AF7)</f>
        <v>1</v>
      </c>
      <c r="AI7" s="183">
        <f t="shared" ref="AI7:AI30" si="13">SUM(AA7,AC7,AE7,AG7)/4</f>
        <v>3.2177505781889333E-2</v>
      </c>
      <c r="AJ7" s="120">
        <f t="shared" ref="AJ7:AJ31" si="14">(AA7+AC7)/2</f>
        <v>0</v>
      </c>
      <c r="AK7" s="119">
        <f t="shared" ref="AK7:AK31" si="15">(AE7+AG7)/2</f>
        <v>6.4355011563778666E-2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2.8630159224337304E-2</v>
      </c>
      <c r="J8" s="24">
        <f t="shared" si="3"/>
        <v>2.8630159224337304E-2</v>
      </c>
      <c r="K8" s="22">
        <f t="shared" si="4"/>
        <v>5.7260318448674609E-2</v>
      </c>
      <c r="L8" s="22">
        <f t="shared" si="5"/>
        <v>2.8630159224337304E-2</v>
      </c>
      <c r="M8" s="223">
        <f t="shared" si="6"/>
        <v>2.8630159224337304E-2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19475.2</v>
      </c>
      <c r="T8" s="221">
        <f>IF($B$81=0,0,(SUMIF($N$6:$N$28,$U8,M$6:M$28)+SUMIF($N$91:$N$118,$U8,M$91:M$118))*$I$83*Poor!$B$81/$B$81)</f>
        <v>19701.065020179296</v>
      </c>
      <c r="U8" s="222">
        <v>2</v>
      </c>
      <c r="V8" s="56"/>
      <c r="W8" s="115"/>
      <c r="X8" s="118">
        <f>Poor!X8</f>
        <v>1</v>
      </c>
      <c r="Y8" s="183">
        <f t="shared" si="9"/>
        <v>0.11452063689734922</v>
      </c>
      <c r="Z8" s="125">
        <f>IF($Y8=0,0,AA8/$Y8)</f>
        <v>0.77510991760463255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8.8766081429534391E-2</v>
      </c>
      <c r="AB8" s="125">
        <f>IF($Y8=0,0,AC8/$Y8)</f>
        <v>0.22489008239536748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2.5754555467814827E-2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2.8630159224337304E-2</v>
      </c>
      <c r="AJ8" s="120">
        <f t="shared" si="14"/>
        <v>5.7260318448674609E-2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1396.3324429060535</v>
      </c>
      <c r="T9" s="221">
        <f>IF($B$81=0,0,(SUMIF($N$6:$N$28,$U9,M$6:M$28)+SUMIF($N$91:$N$118,$U9,M$91:M$118))*$I$83*Poor!$B$81/$B$81)</f>
        <v>1396.3324429060535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0.70731520626223088</v>
      </c>
      <c r="J10" s="24">
        <f t="shared" si="3"/>
        <v>0.11056902208920333</v>
      </c>
      <c r="K10" s="22">
        <f t="shared" si="4"/>
        <v>0.10815217221135029</v>
      </c>
      <c r="L10" s="22">
        <f t="shared" si="5"/>
        <v>0.11788586771037182</v>
      </c>
      <c r="M10" s="223">
        <f t="shared" si="6"/>
        <v>0.11056902208920333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0.44227608835681331</v>
      </c>
      <c r="Z10" s="125">
        <f>IF($Y10=0,0,AA10/$Y10)</f>
        <v>0.77510991760463255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0.34281258240474877</v>
      </c>
      <c r="AB10" s="125">
        <f>IF($Y10=0,0,AC10/$Y10)</f>
        <v>0.22489008239536742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9.9463505952064546E-2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0.11056902208920333</v>
      </c>
      <c r="AJ10" s="120">
        <f t="shared" si="14"/>
        <v>0.22113804417840666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5.4527315927119936E-2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5.4527315927119936E-2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27133.257142857146</v>
      </c>
      <c r="T11" s="221">
        <f>IF($B$81=0,0,(SUMIF($N$6:$N$28,$U11,M$6:M$28)+SUMIF($N$91:$N$118,$U11,M$91:M$118))*$I$83*Poor!$B$81/$B$81)</f>
        <v>27143.301389018576</v>
      </c>
      <c r="U11" s="222">
        <v>5</v>
      </c>
      <c r="V11" s="56"/>
      <c r="W11" s="115"/>
      <c r="X11" s="118">
        <f>Poor!X11</f>
        <v>1</v>
      </c>
      <c r="Y11" s="183">
        <f t="shared" si="9"/>
        <v>0.21810926370847974</v>
      </c>
      <c r="Z11" s="125">
        <f>IF($Y11=0,0,AA11/$Y11)</f>
        <v>0.77510991760463255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0.16905865342188681</v>
      </c>
      <c r="AB11" s="125">
        <f>IF($Y11=0,0,AC11/$Y11)</f>
        <v>0.22489008239536745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4.9050610286592938E-2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5.4527315927119936E-2</v>
      </c>
      <c r="AJ11" s="120">
        <f t="shared" si="14"/>
        <v>0.10905463185423987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-1.880666210915246E-3</v>
      </c>
      <c r="K13" s="22">
        <f t="shared" si="4"/>
        <v>0</v>
      </c>
      <c r="L13" s="22">
        <f t="shared" si="5"/>
        <v>0</v>
      </c>
      <c r="M13" s="224">
        <f t="shared" si="6"/>
        <v>-1.880666210915246E-3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-7.522664843660984E-3</v>
      </c>
      <c r="Z13" s="156">
        <f>Poor!Z13</f>
        <v>1</v>
      </c>
      <c r="AA13" s="121">
        <f>$M13*Z13*4</f>
        <v>-7.522664843660984E-3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-1.880666210915246E-3</v>
      </c>
      <c r="AJ13" s="120">
        <f t="shared" si="14"/>
        <v>-3.761332421830492E-3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200667.42857142861</v>
      </c>
      <c r="T14" s="221">
        <f>IF($B$81=0,0,(SUMIF($N$6:$N$28,$U14,M$6:M$28)+SUMIF($N$91:$N$118,$U14,M$91:M$118))*$I$83*Poor!$B$81/$B$81)</f>
        <v>200667.42857142861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3.9821279469536425E-2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3.9821279469536425E-2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0.1592851178781457</v>
      </c>
      <c r="Z15" s="156">
        <f>Poor!Z15</f>
        <v>0.25</v>
      </c>
      <c r="AA15" s="121">
        <f t="shared" si="16"/>
        <v>3.9821279469536425E-2</v>
      </c>
      <c r="AB15" s="156">
        <f>Poor!AB15</f>
        <v>0.25</v>
      </c>
      <c r="AC15" s="121">
        <f t="shared" si="7"/>
        <v>3.9821279469536425E-2</v>
      </c>
      <c r="AD15" s="156">
        <f>Poor!AD15</f>
        <v>0.25</v>
      </c>
      <c r="AE15" s="121">
        <f t="shared" si="8"/>
        <v>3.9821279469536425E-2</v>
      </c>
      <c r="AF15" s="122">
        <f t="shared" si="10"/>
        <v>0.25</v>
      </c>
      <c r="AG15" s="121">
        <f t="shared" si="11"/>
        <v>3.9821279469536425E-2</v>
      </c>
      <c r="AH15" s="123">
        <f t="shared" si="12"/>
        <v>1</v>
      </c>
      <c r="AI15" s="183">
        <f t="shared" si="13"/>
        <v>3.9821279469536425E-2</v>
      </c>
      <c r="AJ15" s="120">
        <f t="shared" si="14"/>
        <v>3.9821279469536425E-2</v>
      </c>
      <c r="AK15" s="119">
        <f t="shared" si="15"/>
        <v>3.9821279469536425E-2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5.0863958223206558E-2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5.0863958223206558E-2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0.20345583289282623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0.20345583289282623</v>
      </c>
      <c r="AH16" s="123">
        <f t="shared" si="12"/>
        <v>1</v>
      </c>
      <c r="AI16" s="183">
        <f t="shared" si="13"/>
        <v>5.0863958223206558E-2</v>
      </c>
      <c r="AJ16" s="120">
        <f t="shared" si="14"/>
        <v>0</v>
      </c>
      <c r="AK16" s="119">
        <f t="shared" si="15"/>
        <v>0.10172791644641312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2.3651339375057499E-2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2.3651339375057499E-2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9.4605357500229997E-2</v>
      </c>
      <c r="Z17" s="156">
        <f>Poor!Z17</f>
        <v>0.29409999999999997</v>
      </c>
      <c r="AA17" s="121">
        <f t="shared" si="16"/>
        <v>2.7823435640817639E-2</v>
      </c>
      <c r="AB17" s="156">
        <f>Poor!AB17</f>
        <v>0.17649999999999999</v>
      </c>
      <c r="AC17" s="121">
        <f t="shared" si="7"/>
        <v>1.6697845598790593E-2</v>
      </c>
      <c r="AD17" s="156">
        <f>Poor!AD17</f>
        <v>0.23530000000000001</v>
      </c>
      <c r="AE17" s="121">
        <f t="shared" si="8"/>
        <v>2.2260640619804119E-2</v>
      </c>
      <c r="AF17" s="122">
        <f t="shared" si="10"/>
        <v>0.29410000000000003</v>
      </c>
      <c r="AG17" s="121">
        <f t="shared" si="11"/>
        <v>2.7823435640817646E-2</v>
      </c>
      <c r="AH17" s="123">
        <f t="shared" si="12"/>
        <v>1</v>
      </c>
      <c r="AI17" s="183">
        <f t="shared" si="13"/>
        <v>2.3651339375057499E-2</v>
      </c>
      <c r="AJ17" s="120">
        <f t="shared" si="14"/>
        <v>2.2260640619804116E-2</v>
      </c>
      <c r="AK17" s="119">
        <f t="shared" si="15"/>
        <v>2.5042038130310883E-2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252923.0090130039</v>
      </c>
      <c r="T23" s="179">
        <f>SUM(T7:T22)</f>
        <v>252989.39139571041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2.1505455384146548E-2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2.1505455384146548E-2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8.602182153658619E-2</v>
      </c>
      <c r="Z27" s="156">
        <f>Poor!Z27</f>
        <v>0.25</v>
      </c>
      <c r="AA27" s="121">
        <f t="shared" si="16"/>
        <v>2.1505455384146548E-2</v>
      </c>
      <c r="AB27" s="156">
        <f>Poor!AB27</f>
        <v>0.25</v>
      </c>
      <c r="AC27" s="121">
        <f t="shared" si="7"/>
        <v>2.1505455384146548E-2</v>
      </c>
      <c r="AD27" s="156">
        <f>Poor!AD27</f>
        <v>0.25</v>
      </c>
      <c r="AE27" s="121">
        <f t="shared" si="8"/>
        <v>2.1505455384146548E-2</v>
      </c>
      <c r="AF27" s="122">
        <f t="shared" si="10"/>
        <v>0.25</v>
      </c>
      <c r="AG27" s="121">
        <f t="shared" si="11"/>
        <v>2.1505455384146548E-2</v>
      </c>
      <c r="AH27" s="123">
        <f t="shared" si="12"/>
        <v>1</v>
      </c>
      <c r="AI27" s="183">
        <f t="shared" si="13"/>
        <v>2.1505455384146548E-2</v>
      </c>
      <c r="AJ27" s="120">
        <f t="shared" si="14"/>
        <v>2.1505455384146548E-2</v>
      </c>
      <c r="AK27" s="119">
        <f t="shared" si="15"/>
        <v>2.1505455384146548E-2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0.28491412119546328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0.28491412119546328</v>
      </c>
      <c r="N29" s="228"/>
      <c r="P29" s="22"/>
      <c r="V29" s="56"/>
      <c r="W29" s="110"/>
      <c r="X29" s="118"/>
      <c r="Y29" s="183">
        <f t="shared" si="9"/>
        <v>1.1396564847818531</v>
      </c>
      <c r="Z29" s="156">
        <f>Poor!Z29</f>
        <v>0.25</v>
      </c>
      <c r="AA29" s="121">
        <f t="shared" si="16"/>
        <v>0.28491412119546328</v>
      </c>
      <c r="AB29" s="156">
        <f>Poor!AB29</f>
        <v>0.25</v>
      </c>
      <c r="AC29" s="121">
        <f t="shared" si="7"/>
        <v>0.28491412119546328</v>
      </c>
      <c r="AD29" s="156">
        <f>Poor!AD29</f>
        <v>0.25</v>
      </c>
      <c r="AE29" s="121">
        <f t="shared" si="8"/>
        <v>0.28491412119546328</v>
      </c>
      <c r="AF29" s="122">
        <f t="shared" si="10"/>
        <v>0.25</v>
      </c>
      <c r="AG29" s="121">
        <f t="shared" si="11"/>
        <v>0.28491412119546328</v>
      </c>
      <c r="AH29" s="123">
        <f t="shared" si="12"/>
        <v>1</v>
      </c>
      <c r="AI29" s="183">
        <f t="shared" si="13"/>
        <v>0.28491412119546328</v>
      </c>
      <c r="AJ29" s="120">
        <f t="shared" si="14"/>
        <v>0.28491412119546328</v>
      </c>
      <c r="AK29" s="119">
        <f t="shared" si="15"/>
        <v>0.28491412119546328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15.534898998969307</v>
      </c>
      <c r="J30" s="230">
        <f>IF(I$32&lt;=1,I30,1-SUM(J6:J29))</f>
        <v>0.26570027470729551</v>
      </c>
      <c r="K30" s="22">
        <f t="shared" si="4"/>
        <v>0.64712539405799685</v>
      </c>
      <c r="L30" s="22">
        <f>IF(L124=L119,0,IF(K30="",0,(L119-L124)/(B119-B124)*K30))</f>
        <v>0.35223645556192612</v>
      </c>
      <c r="M30" s="175">
        <f t="shared" si="6"/>
        <v>0.26570027470729551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1.0628010988291821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0.35652735602774771</v>
      </c>
      <c r="AC30" s="187">
        <f>IF(AC79*4/$I$83+SUM(AC6:AC29)&lt;1,AC79*4/$I$83,1-SUM(AC6:AC29))</f>
        <v>0.37891766574895325</v>
      </c>
      <c r="AD30" s="122">
        <f>IF($Y30=0,0,AE30/($Y$30))</f>
        <v>0.46239367146183724</v>
      </c>
      <c r="AE30" s="187">
        <f>IF(AE79*4/$I$83+SUM(AE6:AE29)&lt;1,AE79*4/$I$83,1-SUM(AE6:AE29))</f>
        <v>0.49143250212130041</v>
      </c>
      <c r="AF30" s="122">
        <f>IF($Y30=0,0,AG30/($Y$30))</f>
        <v>0.18107897251041508</v>
      </c>
      <c r="AG30" s="187">
        <f>IF(AG79*4/$I$83+SUM(AG6:AG29)&lt;1,AG79*4/$I$83,1-SUM(AG6:AG29))</f>
        <v>0.1924509309589284</v>
      </c>
      <c r="AH30" s="123">
        <f t="shared" si="12"/>
        <v>1</v>
      </c>
      <c r="AI30" s="183">
        <f t="shared" si="13"/>
        <v>0.26570027470729551</v>
      </c>
      <c r="AJ30" s="120">
        <f t="shared" si="14"/>
        <v>0.18945883287447662</v>
      </c>
      <c r="AK30" s="119">
        <f t="shared" si="15"/>
        <v>0.3419417165401144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-9.8775944113785208E-2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17.267447477652453</v>
      </c>
      <c r="J32" s="17"/>
      <c r="L32" s="22">
        <f>SUM(L6:L30)</f>
        <v>1.0987759441137852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-1.2413439818155132E-2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4625.5999999999995</v>
      </c>
      <c r="J37" s="38">
        <f>J91*I$83</f>
        <v>4625.6000000000004</v>
      </c>
      <c r="K37" s="40">
        <f t="shared" ref="K37:K52" si="28">(B37/B$65)</f>
        <v>2.1244770101237834E-2</v>
      </c>
      <c r="L37" s="22">
        <f t="shared" ref="L37:L52" si="29">(K37*H37)</f>
        <v>2.0055062975568513E-2</v>
      </c>
      <c r="M37" s="24">
        <f t="shared" ref="M37:M52" si="30">J37/B$65</f>
        <v>2.0055062975568517E-2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4625.6000000000004</v>
      </c>
      <c r="AH37" s="123">
        <f>SUM(Z37,AB37,AD37,AF37)</f>
        <v>1</v>
      </c>
      <c r="AI37" s="112">
        <f>SUM(AA37,AC37,AE37,AG37)</f>
        <v>4625.6000000000004</v>
      </c>
      <c r="AJ37" s="148">
        <f>(AA37+AC37)</f>
        <v>0</v>
      </c>
      <c r="AK37" s="147">
        <f>(AE37+AG37)</f>
        <v>4625.6000000000004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16992</v>
      </c>
      <c r="J38" s="38">
        <f t="shared" ref="J38:J64" si="33">J92*I$83</f>
        <v>16992.000000000004</v>
      </c>
      <c r="K38" s="40">
        <f t="shared" si="28"/>
        <v>7.8042012616792042E-2</v>
      </c>
      <c r="L38" s="22">
        <f t="shared" si="29"/>
        <v>7.367165991025168E-2</v>
      </c>
      <c r="M38" s="24">
        <f t="shared" si="30"/>
        <v>7.3671659910251708E-2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16992.000000000004</v>
      </c>
      <c r="AH38" s="123">
        <f t="shared" ref="AH38:AI58" si="35">SUM(Z38,AB38,AD38,AF38)</f>
        <v>1</v>
      </c>
      <c r="AI38" s="112">
        <f t="shared" si="35"/>
        <v>16992.000000000004</v>
      </c>
      <c r="AJ38" s="148">
        <f t="shared" ref="AJ38:AJ64" si="36">(AA38+AC38)</f>
        <v>0</v>
      </c>
      <c r="AK38" s="147">
        <f t="shared" ref="AK38:AK64" si="37">(AE38+AG38)</f>
        <v>16992.000000000004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1416</v>
      </c>
      <c r="J39" s="38">
        <f t="shared" si="33"/>
        <v>2132.7887153912543</v>
      </c>
      <c r="K39" s="40">
        <f t="shared" si="28"/>
        <v>9.7552515770990052E-3</v>
      </c>
      <c r="L39" s="22">
        <f t="shared" si="29"/>
        <v>9.20895748878146E-3</v>
      </c>
      <c r="M39" s="24">
        <f t="shared" si="30"/>
        <v>9.2470624353064423E-3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0.77510991760463255</v>
      </c>
      <c r="AA39" s="147">
        <f>$J39*Z39</f>
        <v>1653.1456854550052</v>
      </c>
      <c r="AB39" s="122">
        <f>AB8</f>
        <v>0.22489008239536748</v>
      </c>
      <c r="AC39" s="147">
        <f>$J39*AB39</f>
        <v>479.64302993624915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2132.7887153912543</v>
      </c>
      <c r="AJ39" s="148">
        <f t="shared" si="36"/>
        <v>2132.7887153912543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4634.8287274875147</v>
      </c>
      <c r="K40" s="40">
        <f t="shared" si="28"/>
        <v>1.3007002102798672E-2</v>
      </c>
      <c r="L40" s="22">
        <f t="shared" si="29"/>
        <v>1.9848685208870776E-2</v>
      </c>
      <c r="M40" s="24">
        <f t="shared" si="30"/>
        <v>2.0095075668180602E-2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4634.8287274875147</v>
      </c>
      <c r="AH40" s="123">
        <f t="shared" si="35"/>
        <v>1</v>
      </c>
      <c r="AI40" s="112">
        <f t="shared" si="35"/>
        <v>4634.8287274875147</v>
      </c>
      <c r="AJ40" s="148">
        <f t="shared" si="36"/>
        <v>0</v>
      </c>
      <c r="AK40" s="147">
        <f t="shared" si="37"/>
        <v>4634.8287274875147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463.48287274875139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2.0095075668180597E-3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0.77510991760463255</v>
      </c>
      <c r="AA41" s="147">
        <f>$J41*Z41</f>
        <v>359.25017130744305</v>
      </c>
      <c r="AB41" s="122">
        <f>AB11</f>
        <v>0.22489008239536745</v>
      </c>
      <c r="AC41" s="147">
        <f>$J41*AB41</f>
        <v>104.23270144130831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463.48287274875133</v>
      </c>
      <c r="AJ41" s="148">
        <f t="shared" si="36"/>
        <v>463.48287274875133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3401.7091577890014</v>
      </c>
      <c r="K42" s="40">
        <f t="shared" si="28"/>
        <v>1.0405601682238939E-2</v>
      </c>
      <c r="L42" s="22">
        <f t="shared" si="29"/>
        <v>1.4567842355134515E-2</v>
      </c>
      <c r="M42" s="24">
        <f t="shared" si="30"/>
        <v>1.4748679389490349E-2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850.42728944725036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1700.8545788945007</v>
      </c>
      <c r="AF42" s="122">
        <f t="shared" si="31"/>
        <v>0.25</v>
      </c>
      <c r="AG42" s="147">
        <f t="shared" si="34"/>
        <v>850.42728944725036</v>
      </c>
      <c r="AH42" s="123">
        <f t="shared" si="35"/>
        <v>1</v>
      </c>
      <c r="AI42" s="112">
        <f t="shared" si="35"/>
        <v>3401.7091577890014</v>
      </c>
      <c r="AJ42" s="148">
        <f t="shared" si="36"/>
        <v>850.42728944725036</v>
      </c>
      <c r="AK42" s="147">
        <f t="shared" si="37"/>
        <v>2551.2818683417509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5669.5152629816694</v>
      </c>
      <c r="K43" s="40">
        <f t="shared" si="28"/>
        <v>1.7342669470398232E-2</v>
      </c>
      <c r="L43" s="22">
        <f t="shared" si="29"/>
        <v>2.4279737258557525E-2</v>
      </c>
      <c r="M43" s="24">
        <f t="shared" si="30"/>
        <v>2.4581132315817249E-2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1417.3788157454173</v>
      </c>
      <c r="AB43" s="156">
        <f>Poor!AB43</f>
        <v>0.25</v>
      </c>
      <c r="AC43" s="147">
        <f t="shared" si="39"/>
        <v>1417.3788157454173</v>
      </c>
      <c r="AD43" s="156">
        <f>Poor!AD43</f>
        <v>0.25</v>
      </c>
      <c r="AE43" s="147">
        <f t="shared" si="40"/>
        <v>1417.3788157454173</v>
      </c>
      <c r="AF43" s="122">
        <f t="shared" si="31"/>
        <v>0.25</v>
      </c>
      <c r="AG43" s="147">
        <f t="shared" si="34"/>
        <v>1417.3788157454173</v>
      </c>
      <c r="AH43" s="123">
        <f t="shared" si="35"/>
        <v>1</v>
      </c>
      <c r="AI43" s="112">
        <f t="shared" si="35"/>
        <v>5669.5152629816694</v>
      </c>
      <c r="AJ43" s="148">
        <f t="shared" si="36"/>
        <v>2834.7576314908347</v>
      </c>
      <c r="AK43" s="147">
        <f t="shared" si="37"/>
        <v>2834.7576314908347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1700.8545788945007</v>
      </c>
      <c r="K44" s="40">
        <f t="shared" si="28"/>
        <v>5.2028008411194697E-3</v>
      </c>
      <c r="L44" s="22">
        <f t="shared" si="29"/>
        <v>7.2839211775672574E-3</v>
      </c>
      <c r="M44" s="24">
        <f t="shared" si="30"/>
        <v>7.3743396947451743E-3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425.21364472362518</v>
      </c>
      <c r="AB44" s="156">
        <f>Poor!AB44</f>
        <v>0.25</v>
      </c>
      <c r="AC44" s="147">
        <f t="shared" si="39"/>
        <v>425.21364472362518</v>
      </c>
      <c r="AD44" s="156">
        <f>Poor!AD44</f>
        <v>0.25</v>
      </c>
      <c r="AE44" s="147">
        <f t="shared" si="40"/>
        <v>425.21364472362518</v>
      </c>
      <c r="AF44" s="122">
        <f t="shared" si="31"/>
        <v>0.25</v>
      </c>
      <c r="AG44" s="147">
        <f t="shared" si="34"/>
        <v>425.21364472362518</v>
      </c>
      <c r="AH44" s="123">
        <f t="shared" si="35"/>
        <v>1</v>
      </c>
      <c r="AI44" s="112">
        <f t="shared" si="35"/>
        <v>1700.8545788945007</v>
      </c>
      <c r="AJ44" s="148">
        <f t="shared" si="36"/>
        <v>850.42728944725036</v>
      </c>
      <c r="AK44" s="147">
        <f t="shared" si="37"/>
        <v>850.42728944725036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248.04129275544804</v>
      </c>
      <c r="K45" s="40">
        <f t="shared" si="28"/>
        <v>7.5874178932992256E-4</v>
      </c>
      <c r="L45" s="22">
        <f t="shared" si="29"/>
        <v>1.0622385050618915E-3</v>
      </c>
      <c r="M45" s="24">
        <f t="shared" si="30"/>
        <v>1.0754245388170046E-3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62.01032318886201</v>
      </c>
      <c r="AB45" s="156">
        <f>Poor!AB45</f>
        <v>0.25</v>
      </c>
      <c r="AC45" s="147">
        <f t="shared" si="39"/>
        <v>62.01032318886201</v>
      </c>
      <c r="AD45" s="156">
        <f>Poor!AD45</f>
        <v>0.25</v>
      </c>
      <c r="AE45" s="147">
        <f t="shared" si="40"/>
        <v>62.01032318886201</v>
      </c>
      <c r="AF45" s="122">
        <f t="shared" si="31"/>
        <v>0.25</v>
      </c>
      <c r="AG45" s="147">
        <f t="shared" si="34"/>
        <v>62.01032318886201</v>
      </c>
      <c r="AH45" s="123">
        <f t="shared" si="35"/>
        <v>1</v>
      </c>
      <c r="AI45" s="112">
        <f t="shared" si="35"/>
        <v>248.04129275544804</v>
      </c>
      <c r="AJ45" s="148">
        <f t="shared" si="36"/>
        <v>124.02064637772402</v>
      </c>
      <c r="AK45" s="147">
        <f t="shared" si="37"/>
        <v>124.02064637772402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1120</v>
      </c>
      <c r="K46" s="40">
        <f t="shared" si="28"/>
        <v>3.468533894079646E-3</v>
      </c>
      <c r="L46" s="22">
        <f t="shared" si="29"/>
        <v>4.8559474517115044E-3</v>
      </c>
      <c r="M46" s="24">
        <f t="shared" si="30"/>
        <v>4.8559474517115044E-3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280</v>
      </c>
      <c r="AB46" s="156">
        <f>Poor!AB46</f>
        <v>0.25</v>
      </c>
      <c r="AC46" s="147">
        <f t="shared" si="39"/>
        <v>280</v>
      </c>
      <c r="AD46" s="156">
        <f>Poor!AD46</f>
        <v>0.25</v>
      </c>
      <c r="AE46" s="147">
        <f t="shared" si="40"/>
        <v>280</v>
      </c>
      <c r="AF46" s="122">
        <f t="shared" si="31"/>
        <v>0.25</v>
      </c>
      <c r="AG46" s="147">
        <f t="shared" si="34"/>
        <v>280</v>
      </c>
      <c r="AH46" s="123">
        <f t="shared" si="35"/>
        <v>1</v>
      </c>
      <c r="AI46" s="112">
        <f t="shared" si="35"/>
        <v>1120</v>
      </c>
      <c r="AJ46" s="148">
        <f t="shared" si="36"/>
        <v>560</v>
      </c>
      <c r="AK46" s="147">
        <f t="shared" si="37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0.8</v>
      </c>
      <c r="F52" s="75">
        <f>Middle!F52</f>
        <v>1.18</v>
      </c>
      <c r="G52" s="22">
        <f t="shared" si="32"/>
        <v>1.65</v>
      </c>
      <c r="H52" s="24">
        <f t="shared" si="26"/>
        <v>0.94399999999999995</v>
      </c>
      <c r="I52" s="39">
        <f t="shared" si="27"/>
        <v>39648</v>
      </c>
      <c r="J52" s="38">
        <f t="shared" si="33"/>
        <v>39648</v>
      </c>
      <c r="K52" s="40">
        <f t="shared" si="28"/>
        <v>0.18209802943918144</v>
      </c>
      <c r="L52" s="22">
        <f t="shared" si="29"/>
        <v>0.17190053979058725</v>
      </c>
      <c r="M52" s="24">
        <f t="shared" si="30"/>
        <v>0.17190053979058725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9912</v>
      </c>
      <c r="AB52" s="156">
        <f>Poor!AB57</f>
        <v>0.25</v>
      </c>
      <c r="AC52" s="147">
        <f t="shared" si="39"/>
        <v>9912</v>
      </c>
      <c r="AD52" s="156">
        <f>Poor!AD57</f>
        <v>0.25</v>
      </c>
      <c r="AE52" s="147">
        <f t="shared" si="40"/>
        <v>9912</v>
      </c>
      <c r="AF52" s="122">
        <f t="shared" si="31"/>
        <v>0.25</v>
      </c>
      <c r="AG52" s="147">
        <f t="shared" si="34"/>
        <v>9912</v>
      </c>
      <c r="AH52" s="123">
        <f t="shared" si="35"/>
        <v>1</v>
      </c>
      <c r="AI52" s="112">
        <f t="shared" si="35"/>
        <v>39648</v>
      </c>
      <c r="AJ52" s="148">
        <f t="shared" si="36"/>
        <v>19824</v>
      </c>
      <c r="AK52" s="147">
        <f t="shared" si="37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135936</v>
      </c>
      <c r="J53" s="38">
        <f t="shared" si="33"/>
        <v>135936.00000000003</v>
      </c>
      <c r="K53" s="40">
        <f t="shared" ref="K53:K64" si="43">(B53/B$65)</f>
        <v>0.62433610093433634</v>
      </c>
      <c r="L53" s="22">
        <f t="shared" ref="L53:L64" si="44">(K53*H53)</f>
        <v>0.58937327928201344</v>
      </c>
      <c r="M53" s="24">
        <f t="shared" ref="M53:M64" si="45">J53/B$65</f>
        <v>0.58937327928201366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3.3037785341108628E-2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199737.60000000001</v>
      </c>
      <c r="J65" s="39">
        <f>SUM(J37:J64)</f>
        <v>216572.82060804818</v>
      </c>
      <c r="K65" s="40">
        <f>SUM(K37:K64)</f>
        <v>1</v>
      </c>
      <c r="L65" s="22">
        <f>SUM(L37:L64)</f>
        <v>0.93809273992499298</v>
      </c>
      <c r="M65" s="24">
        <f>SUM(M37:M64)</f>
        <v>0.93898771101930756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14959.425929867604</v>
      </c>
      <c r="AB65" s="137"/>
      <c r="AC65" s="153">
        <f>SUM(AC37:AC64)</f>
        <v>12680.478515035462</v>
      </c>
      <c r="AD65" s="137"/>
      <c r="AE65" s="153">
        <f>SUM(AE37:AE64)</f>
        <v>13797.457362552406</v>
      </c>
      <c r="AF65" s="137"/>
      <c r="AG65" s="153">
        <f>SUM(AG37:AG64)</f>
        <v>39199.458800592678</v>
      </c>
      <c r="AH65" s="137"/>
      <c r="AI65" s="153">
        <f>SUM(AI37:AI64)</f>
        <v>80636.820608048147</v>
      </c>
      <c r="AJ65" s="153">
        <f>SUM(AJ37:AJ64)</f>
        <v>27639.904444903066</v>
      </c>
      <c r="AK65" s="153">
        <f>SUM(AK37:AK64)</f>
        <v>52996.916163145077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91981</v>
      </c>
      <c r="K73" s="40">
        <f>B73/B$76</f>
        <v>0.33796527130438553</v>
      </c>
      <c r="L73" s="22">
        <f>(L127*G$37*F$9/F$7)/B$130</f>
        <v>0.3987990201391749</v>
      </c>
      <c r="M73" s="24">
        <f>J73/B$76</f>
        <v>0.3987990201391749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174014.07591869877</v>
      </c>
      <c r="J74" s="51">
        <f>J128*I$83</f>
        <v>2976.2399985736647</v>
      </c>
      <c r="K74" s="40">
        <f>B74/B$76</f>
        <v>1.9047430585260341E-2</v>
      </c>
      <c r="L74" s="22">
        <f>(L128*G$37*F$9/F$7)/B$130</f>
        <v>1.7106698597452726E-2</v>
      </c>
      <c r="M74" s="24">
        <f>J74/B$76</f>
        <v>1.2903986639960393E-2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1061.1109775954963</v>
      </c>
      <c r="AD74" s="156"/>
      <c r="AE74" s="147">
        <f>AE30*$I$83/4</f>
        <v>1376.1945400920501</v>
      </c>
      <c r="AF74" s="156"/>
      <c r="AG74" s="147">
        <f>AG30*$I$83/4</f>
        <v>538.93448088611842</v>
      </c>
      <c r="AH74" s="155"/>
      <c r="AI74" s="147">
        <f>SUM(AA74,AC74,AE74,AG74)</f>
        <v>2976.2399985736647</v>
      </c>
      <c r="AJ74" s="148">
        <f>(AA74+AC74)</f>
        <v>1061.1109775954963</v>
      </c>
      <c r="AK74" s="147">
        <f>(AE74+AG74)</f>
        <v>1915.1290209781687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49509.403194839884</v>
      </c>
      <c r="K75" s="40">
        <f>B75/B$76</f>
        <v>0.39290045857040584</v>
      </c>
      <c r="L75" s="22">
        <f>(L129*G$37*F$9/F$7)/B$130</f>
        <v>0.20955862076938994</v>
      </c>
      <c r="M75" s="24">
        <f>J75/B$76</f>
        <v>0.21465630382119658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8528.5449095422882</v>
      </c>
      <c r="AB75" s="158"/>
      <c r="AC75" s="149">
        <f>AA75+AC65-SUM(AC70,AC74)</f>
        <v>13717.031426656937</v>
      </c>
      <c r="AD75" s="158"/>
      <c r="AE75" s="149">
        <f>AC75+AE65-SUM(AE70,AE74)</f>
        <v>19707.413228791975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51937.056528173212</v>
      </c>
      <c r="AJ75" s="151">
        <f>AJ76-SUM(AJ70,AJ74)</f>
        <v>13717.031426656937</v>
      </c>
      <c r="AK75" s="149">
        <f>AJ75+AK76-SUM(AK70,AK74)</f>
        <v>51937.056528173212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199737.60000000003</v>
      </c>
      <c r="J76" s="51">
        <f>J130*I$83</f>
        <v>216572.82060804815</v>
      </c>
      <c r="K76" s="40">
        <f>SUM(K70:K75)</f>
        <v>0.8295764775593083</v>
      </c>
      <c r="L76" s="22">
        <f>SUM(L70:L75)</f>
        <v>0.73699298344497688</v>
      </c>
      <c r="M76" s="24">
        <f>SUM(M70:M75)</f>
        <v>0.73788795453929124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14959.425929867604</v>
      </c>
      <c r="AB76" s="137"/>
      <c r="AC76" s="153">
        <f>AC65</f>
        <v>12680.478515035462</v>
      </c>
      <c r="AD76" s="137"/>
      <c r="AE76" s="153">
        <f>AE65</f>
        <v>13797.457362552406</v>
      </c>
      <c r="AF76" s="137"/>
      <c r="AG76" s="153">
        <f>AG65</f>
        <v>39199.458800592678</v>
      </c>
      <c r="AH76" s="137"/>
      <c r="AI76" s="153">
        <f>SUM(AA76,AC76,AE76,AG76)</f>
        <v>80636.820608048147</v>
      </c>
      <c r="AJ76" s="154">
        <f>SUM(AA76,AC76)</f>
        <v>27639.904444903066</v>
      </c>
      <c r="AK76" s="154">
        <f>SUM(AE76,AG76)</f>
        <v>52996.916163145084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8528.5449095422882</v>
      </c>
      <c r="AD78" s="112"/>
      <c r="AE78" s="112">
        <f>AC75</f>
        <v>13717.031426656937</v>
      </c>
      <c r="AF78" s="112"/>
      <c r="AG78" s="112">
        <f>AE75</f>
        <v>19707.413228791975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8528.5449095422882</v>
      </c>
      <c r="AB79" s="112"/>
      <c r="AC79" s="112">
        <f>AA79-AA74+AC65-AC70</f>
        <v>14778.142404252434</v>
      </c>
      <c r="AD79" s="112"/>
      <c r="AE79" s="112">
        <f>AC79-AC74+AE65-AE70</f>
        <v>21083.607768884031</v>
      </c>
      <c r="AF79" s="112"/>
      <c r="AG79" s="112">
        <f>AE79-AE74+AG65-AG70</f>
        <v>52475.99100905934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0.57212121212121214</v>
      </c>
      <c r="I91" s="22">
        <f t="shared" ref="I91" si="52">(D91*H91)</f>
        <v>0.41294492086493834</v>
      </c>
      <c r="J91" s="24">
        <f>IF(I$32&lt;=1+I$131,I91,L91+J$33*(I91-L91))</f>
        <v>0.41294492086493834</v>
      </c>
      <c r="K91" s="22">
        <f t="shared" ref="K91" si="53">(B91)</f>
        <v>0.72177872820672484</v>
      </c>
      <c r="L91" s="22">
        <f t="shared" ref="L91" si="54">(K91*H91)</f>
        <v>0.41294492086493834</v>
      </c>
      <c r="M91" s="226">
        <f t="shared" si="50"/>
        <v>0.41294492086493834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0.57212121212121214</v>
      </c>
      <c r="I92" s="22">
        <f t="shared" ref="I92:I118" si="59">(D92*H92)</f>
        <v>1.5169405256263042</v>
      </c>
      <c r="J92" s="24">
        <f t="shared" ref="J92:J118" si="60">IF(I$32&lt;=1+I$131,I92,L92+J$33*(I92-L92))</f>
        <v>1.5169405256263042</v>
      </c>
      <c r="K92" s="22">
        <f t="shared" ref="K92:K118" si="61">(B92)</f>
        <v>2.6514320628002137</v>
      </c>
      <c r="L92" s="22">
        <f t="shared" ref="L92:L118" si="62">(K92*H92)</f>
        <v>1.5169405256263042</v>
      </c>
      <c r="M92" s="226">
        <f t="shared" ref="M92:M118" si="63">(J92)</f>
        <v>1.5169405256263042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0.57212121212121214</v>
      </c>
      <c r="I93" s="22">
        <f t="shared" si="59"/>
        <v>0.12641171046885868</v>
      </c>
      <c r="J93" s="24">
        <f t="shared" si="60"/>
        <v>0.19040216778339564</v>
      </c>
      <c r="K93" s="22">
        <f t="shared" si="61"/>
        <v>0.33142900785002671</v>
      </c>
      <c r="L93" s="22">
        <f t="shared" si="62"/>
        <v>0.18961756570328803</v>
      </c>
      <c r="M93" s="226">
        <f t="shared" si="63"/>
        <v>0.19040216778339564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0.41376880449992964</v>
      </c>
      <c r="K94" s="22">
        <f t="shared" si="61"/>
        <v>0.4419053438000356</v>
      </c>
      <c r="L94" s="22">
        <f t="shared" si="62"/>
        <v>0.40869548765991176</v>
      </c>
      <c r="M94" s="226">
        <f t="shared" si="63"/>
        <v>0.41376880449992964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4.1376880449992957E-2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4.1376880449992957E-2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0.30368352623848044</v>
      </c>
      <c r="K96" s="22">
        <f t="shared" si="61"/>
        <v>0.35352427504002848</v>
      </c>
      <c r="L96" s="22">
        <f t="shared" si="62"/>
        <v>0.29995999094305448</v>
      </c>
      <c r="M96" s="226">
        <f t="shared" si="63"/>
        <v>0.30368352623848044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0.50613921039746745</v>
      </c>
      <c r="K97" s="22">
        <f t="shared" si="61"/>
        <v>0.58920712506671413</v>
      </c>
      <c r="L97" s="22">
        <f t="shared" si="62"/>
        <v>0.49993331823842413</v>
      </c>
      <c r="M97" s="226">
        <f t="shared" si="63"/>
        <v>0.50613921039746745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0.15184176311924022</v>
      </c>
      <c r="K98" s="22">
        <f t="shared" si="61"/>
        <v>0.17676213752001424</v>
      </c>
      <c r="L98" s="22">
        <f t="shared" si="62"/>
        <v>0.14997999547152724</v>
      </c>
      <c r="M98" s="226">
        <f t="shared" si="63"/>
        <v>0.15184176311924022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2.21435904548892E-2</v>
      </c>
      <c r="K99" s="22">
        <f t="shared" si="61"/>
        <v>2.5777811721668743E-2</v>
      </c>
      <c r="L99" s="22">
        <f t="shared" si="62"/>
        <v>2.1872082672931056E-2</v>
      </c>
      <c r="M99" s="226">
        <f t="shared" si="63"/>
        <v>2.21435904548892E-2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0.84848484848484851</v>
      </c>
      <c r="I100" s="22">
        <f t="shared" si="59"/>
        <v>9.9986663647684826E-2</v>
      </c>
      <c r="J100" s="24">
        <f t="shared" si="60"/>
        <v>9.9986663647684826E-2</v>
      </c>
      <c r="K100" s="22">
        <f t="shared" si="61"/>
        <v>0.11784142501334283</v>
      </c>
      <c r="L100" s="22">
        <f t="shared" si="62"/>
        <v>9.9986663647684826E-2</v>
      </c>
      <c r="M100" s="226">
        <f t="shared" si="63"/>
        <v>9.9986663647684826E-2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0.57212121212121214</v>
      </c>
      <c r="I106" s="22">
        <f t="shared" si="59"/>
        <v>3.5395278931280427</v>
      </c>
      <c r="J106" s="24">
        <f t="shared" si="60"/>
        <v>3.5395278931280427</v>
      </c>
      <c r="K106" s="22">
        <f t="shared" si="61"/>
        <v>6.1866748132004981</v>
      </c>
      <c r="L106" s="22">
        <f t="shared" si="62"/>
        <v>3.5395278931280427</v>
      </c>
      <c r="M106" s="226">
        <f t="shared" si="63"/>
        <v>3.5395278931280427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0.57212121212121214</v>
      </c>
      <c r="I107" s="22">
        <f t="shared" si="59"/>
        <v>12.135524205010434</v>
      </c>
      <c r="J107" s="24">
        <f t="shared" si="60"/>
        <v>12.135524205010434</v>
      </c>
      <c r="K107" s="22">
        <f t="shared" si="61"/>
        <v>21.21145650240171</v>
      </c>
      <c r="L107" s="22">
        <f t="shared" si="62"/>
        <v>12.135524205010434</v>
      </c>
      <c r="M107" s="226">
        <f t="shared" si="63"/>
        <v>12.135524205010434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1.1224395732520904</v>
      </c>
      <c r="L110" s="22">
        <f t="shared" si="62"/>
        <v>0</v>
      </c>
      <c r="M110" s="226">
        <f t="shared" si="63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17.831335918746262</v>
      </c>
      <c r="J119" s="24">
        <f>SUM(J91:J118)</f>
        <v>19.334280151220799</v>
      </c>
      <c r="K119" s="22">
        <f>SUM(K91:K118)</f>
        <v>33.974419340253071</v>
      </c>
      <c r="L119" s="22">
        <f>SUM(L91:L118)</f>
        <v>19.315852197732532</v>
      </c>
      <c r="M119" s="57">
        <f t="shared" si="50"/>
        <v>19.334280151220799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8.2114940258729447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8.2114940258729447</v>
      </c>
      <c r="M127" s="57">
        <f t="shared" si="90"/>
        <v>8.2114940258729447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15.534898998969307</v>
      </c>
      <c r="J128" s="227">
        <f>(J30)</f>
        <v>0.26570027470729551</v>
      </c>
      <c r="K128" s="22">
        <f>(B128)</f>
        <v>0.64712539405799685</v>
      </c>
      <c r="L128" s="22">
        <f>IF(L124=L119,0,(L119-L124)/(B119-B124)*K128)</f>
        <v>0.35223645556192612</v>
      </c>
      <c r="M128" s="57">
        <f t="shared" si="90"/>
        <v>0.26570027470729551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4.4198928970000608</v>
      </c>
      <c r="K129" s="29">
        <f>(B129)</f>
        <v>13.348564938448696</v>
      </c>
      <c r="L129" s="60">
        <f>IF(SUM(L124:L128)&gt;L130,0,L130-SUM(L124:L128))</f>
        <v>4.3149287626571642</v>
      </c>
      <c r="M129" s="57">
        <f t="shared" si="90"/>
        <v>4.4198928970000608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17.831335918746262</v>
      </c>
      <c r="J130" s="227">
        <f>(J119)</f>
        <v>19.334280151220799</v>
      </c>
      <c r="K130" s="22">
        <f>(B130)</f>
        <v>33.974419340253071</v>
      </c>
      <c r="L130" s="22">
        <f>(L119)</f>
        <v>19.315852197732532</v>
      </c>
      <c r="M130" s="57">
        <f t="shared" si="90"/>
        <v>19.334280151220799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3343.563195889893</v>
      </c>
      <c r="G72" s="109">
        <f>Poor!T7</f>
        <v>8038.7800036428862</v>
      </c>
      <c r="H72" s="109">
        <f>Middle!T7</f>
        <v>10229.996934657667</v>
      </c>
      <c r="I72" s="109">
        <f>Rich!T7</f>
        <v>4081.2639721778764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0</v>
      </c>
      <c r="H73" s="109">
        <f>Middle!T8</f>
        <v>2476.2445739542432</v>
      </c>
      <c r="I73" s="109">
        <f>Rich!T8</f>
        <v>19701.065020179296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150.18172241243082</v>
      </c>
      <c r="H74" s="109">
        <f>Middle!T9</f>
        <v>338.16960758493536</v>
      </c>
      <c r="I74" s="109">
        <f>Rich!T9</f>
        <v>1396.3324429060535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1887.9999999999998</v>
      </c>
      <c r="H76" s="109">
        <f>Middle!T11</f>
        <v>9991.819951331745</v>
      </c>
      <c r="I76" s="109">
        <f>Rich!T11</f>
        <v>27143.301389018576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5354.2499999999991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9894.0320779562808</v>
      </c>
      <c r="G78" s="109">
        <f>Poor!T13</f>
        <v>16656.524348169609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13593.599999999999</v>
      </c>
      <c r="H79" s="109">
        <f>Middle!T14</f>
        <v>73632</v>
      </c>
      <c r="I79" s="109">
        <f>Rich!T14</f>
        <v>200667.42857142861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6163.2</v>
      </c>
      <c r="H81" s="109">
        <f>Middle!T16</f>
        <v>1112.2820294989149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17022.612885145085</v>
      </c>
      <c r="G88" s="109">
        <f>Poor!T23</f>
        <v>59121.893695615043</v>
      </c>
      <c r="H88" s="109">
        <f>Middle!T23</f>
        <v>97901.3259492793</v>
      </c>
      <c r="I88" s="109">
        <f>Rich!T23</f>
        <v>252989.39139571041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22301.673406907714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42572.500073574382</v>
      </c>
      <c r="G99" s="238">
        <f t="shared" si="0"/>
        <v>473.21926310442359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75310.42007357438</v>
      </c>
      <c r="G100" s="238">
        <f t="shared" si="0"/>
        <v>33211.139263104429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2016-06-02T08:50:35Z</dcterms:modified>
  <cp:category/>
</cp:coreProperties>
</file>