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H103" i="12"/>
  <c r="I103" i="12"/>
  <c r="B50" i="12"/>
  <c r="B104" i="12"/>
  <c r="C50" i="12"/>
  <c r="C104" i="12"/>
  <c r="D104" i="12"/>
  <c r="G50" i="1"/>
  <c r="G50" i="12"/>
  <c r="F50" i="12"/>
  <c r="H104" i="12"/>
  <c r="I104" i="12"/>
  <c r="B51" i="12"/>
  <c r="B105" i="12"/>
  <c r="C51" i="12"/>
  <c r="C105" i="12"/>
  <c r="D105" i="12"/>
  <c r="G51" i="1"/>
  <c r="G51" i="12"/>
  <c r="F51" i="12"/>
  <c r="H105" i="12"/>
  <c r="I105" i="12"/>
  <c r="B52" i="12"/>
  <c r="B106" i="12"/>
  <c r="C52" i="12"/>
  <c r="C106" i="12"/>
  <c r="D106" i="12"/>
  <c r="G52" i="1"/>
  <c r="G52" i="12"/>
  <c r="F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H108" i="12"/>
  <c r="I108" i="12"/>
  <c r="B55" i="12"/>
  <c r="B109" i="12"/>
  <c r="C55" i="12"/>
  <c r="C109" i="12"/>
  <c r="D109" i="12"/>
  <c r="G55" i="1"/>
  <c r="G55" i="12"/>
  <c r="F55" i="12"/>
  <c r="H109" i="12"/>
  <c r="I109" i="12"/>
  <c r="B56" i="12"/>
  <c r="B110" i="12"/>
  <c r="C56" i="12"/>
  <c r="C110" i="12"/>
  <c r="D110" i="12"/>
  <c r="G56" i="1"/>
  <c r="G56" i="12"/>
  <c r="F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E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H103" i="7"/>
  <c r="I103" i="7"/>
  <c r="B50" i="7"/>
  <c r="B104" i="7"/>
  <c r="C50" i="7"/>
  <c r="C104" i="7"/>
  <c r="D104" i="7"/>
  <c r="G50" i="7"/>
  <c r="F50" i="7"/>
  <c r="H104" i="7"/>
  <c r="I104" i="7"/>
  <c r="B51" i="7"/>
  <c r="B105" i="7"/>
  <c r="C51" i="7"/>
  <c r="C105" i="7"/>
  <c r="D105" i="7"/>
  <c r="G51" i="7"/>
  <c r="F51" i="7"/>
  <c r="H105" i="7"/>
  <c r="I105" i="7"/>
  <c r="B52" i="7"/>
  <c r="B106" i="7"/>
  <c r="C52" i="7"/>
  <c r="C106" i="7"/>
  <c r="D106" i="7"/>
  <c r="G52" i="7"/>
  <c r="F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H108" i="7"/>
  <c r="I108" i="7"/>
  <c r="B55" i="7"/>
  <c r="B109" i="7"/>
  <c r="C55" i="7"/>
  <c r="C109" i="7"/>
  <c r="D109" i="7"/>
  <c r="G55" i="7"/>
  <c r="F55" i="7"/>
  <c r="H109" i="7"/>
  <c r="I109" i="7"/>
  <c r="B56" i="7"/>
  <c r="B110" i="7"/>
  <c r="C56" i="7"/>
  <c r="C110" i="7"/>
  <c r="D110" i="7"/>
  <c r="G56" i="7"/>
  <c r="F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E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E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9" i="12"/>
  <c r="E50" i="12"/>
  <c r="E51" i="12"/>
  <c r="E52" i="12"/>
  <c r="E53" i="12"/>
  <c r="E54" i="12"/>
  <c r="E55" i="12"/>
  <c r="E56" i="12"/>
  <c r="F58" i="12"/>
  <c r="E61" i="12"/>
  <c r="E62" i="12"/>
  <c r="F62" i="12"/>
  <c r="E63" i="12"/>
  <c r="F63" i="12"/>
  <c r="E64" i="12"/>
  <c r="F64" i="12"/>
  <c r="E30" i="12"/>
  <c r="E8" i="12"/>
  <c r="H8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9" i="7"/>
  <c r="E50" i="7"/>
  <c r="E51" i="7"/>
  <c r="E52" i="7"/>
  <c r="E53" i="7"/>
  <c r="E54" i="7"/>
  <c r="E55" i="7"/>
  <c r="E56" i="7"/>
  <c r="F58" i="7"/>
  <c r="E61" i="7"/>
  <c r="E62" i="7"/>
  <c r="F62" i="7"/>
  <c r="E63" i="7"/>
  <c r="F63" i="7"/>
  <c r="E64" i="7"/>
  <c r="F64" i="7"/>
  <c r="E30" i="7"/>
  <c r="E8" i="7"/>
  <c r="H8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9" i="8"/>
  <c r="E50" i="8"/>
  <c r="E51" i="8"/>
  <c r="E52" i="8"/>
  <c r="E53" i="8"/>
  <c r="E54" i="8"/>
  <c r="E55" i="8"/>
  <c r="E56" i="8"/>
  <c r="F58" i="8"/>
  <c r="E61" i="8"/>
  <c r="E62" i="8"/>
  <c r="F62" i="8"/>
  <c r="E63" i="8"/>
  <c r="F63" i="8"/>
  <c r="E64" i="8"/>
  <c r="F64" i="8"/>
  <c r="E30" i="8"/>
  <c r="E8" i="8"/>
  <c r="H8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<sst xmlns="http://schemas.openxmlformats.org/spreadsheetml/2006/main" count="790" uniqueCount="145">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</sst>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0.0130858012920299</c:v>
                </c:pt>
                <c:pt idx="2" formatCode="0.0%">
                  <c:v>0.0130858012920299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0.222417476969178</c:v>
                </c:pt>
                <c:pt idx="2" formatCode="0.0%">
                  <c:v>0.222417476969178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0.235849665317559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0.0204036750712423</c:v>
                </c:pt>
                <c:pt idx="2" formatCode="0.0%">
                  <c:v>0.043667688360455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623784"/>
        <c:axId val="-2030913384"/>
      </c:barChart>
      <c:catAx>
        <c:axId val="-20306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91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91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2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0.142745018973624</c:v>
                </c:pt>
                <c:pt idx="2">
                  <c:v>0.144612113322541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0.0142745018973624</c:v>
                </c:pt>
                <c:pt idx="2">
                  <c:v>0.0141944835681231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0.0090322515607336</c:v>
                </c:pt>
                <c:pt idx="2">
                  <c:v>0.00920946333983768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0.00439525623393362</c:v>
                </c:pt>
                <c:pt idx="2">
                  <c:v>0.00448149067632004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0.0105849060679594</c:v>
                </c:pt>
                <c:pt idx="2">
                  <c:v>0.0105849060679594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0.00564528323624502</c:v>
                </c:pt>
                <c:pt idx="2">
                  <c:v>0.0057560430705028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0.00756064719139958</c:v>
                </c:pt>
                <c:pt idx="2">
                  <c:v>0.00770898625513768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0.0176415101132657</c:v>
                </c:pt>
                <c:pt idx="2">
                  <c:v>0.0179876345953213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0.00252021573046653</c:v>
                </c:pt>
                <c:pt idx="2">
                  <c:v>0.00256966208504589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0.00282264161812251</c:v>
                </c:pt>
                <c:pt idx="2">
                  <c:v>0.0028780215352514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0.000887115937124217</c:v>
                </c:pt>
                <c:pt idx="2">
                  <c:v>0.000887115937124218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0.00141132080906126</c:v>
                </c:pt>
                <c:pt idx="2">
                  <c:v>0.00141132080906126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0.69333294930046</c:v>
                </c:pt>
                <c:pt idx="2">
                  <c:v>0.69333294930046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958936"/>
        <c:axId val="-2058955912"/>
      </c:barChart>
      <c:catAx>
        <c:axId val="-205895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95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95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95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0.0975648243059603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0.0245273377618804</c:v>
                </c:pt>
                <c:pt idx="2">
                  <c:v>0.0243231402337949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0.0323800698059118</c:v>
                </c:pt>
                <c:pt idx="2">
                  <c:v>0.0334583654249138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0.0169751348916969</c:v>
                </c:pt>
                <c:pt idx="2">
                  <c:v>0.0169751348916969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0.0218251734321817</c:v>
                </c:pt>
                <c:pt idx="2">
                  <c:v>0.0225519781931641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0.0236439378848635</c:v>
                </c:pt>
                <c:pt idx="2">
                  <c:v>0.0244313097092611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0.0254627023375454</c:v>
                </c:pt>
                <c:pt idx="2">
                  <c:v>0.0263106412253581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0.00363752890536362</c:v>
                </c:pt>
                <c:pt idx="2">
                  <c:v>0.00375866303219402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0.0183331456830327</c:v>
                </c:pt>
                <c:pt idx="2">
                  <c:v>0.0183331456830327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0.0112399643175736</c:v>
                </c:pt>
                <c:pt idx="2">
                  <c:v>0.0112399643175736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0.0029100231242909</c:v>
                </c:pt>
                <c:pt idx="2">
                  <c:v>0.0029100231242909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0.073356832924833</c:v>
                </c:pt>
                <c:pt idx="2">
                  <c:v>0.0733568329248331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0.539601430761369</c:v>
                </c:pt>
                <c:pt idx="2">
                  <c:v>0.539601430761369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765000"/>
        <c:axId val="-1992762008"/>
      </c:barChart>
      <c:catAx>
        <c:axId val="-199276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76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76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76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0.0097930632468668</c:v>
                </c:pt>
                <c:pt idx="2">
                  <c:v>0.0097930632468668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0.0370285341037328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0.203818128825415</c:v>
                </c:pt>
                <c:pt idx="2">
                  <c:v>0.203818128825415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0.217406004080443</c:v>
                </c:pt>
                <c:pt idx="2">
                  <c:v>0.217406004080443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0.0647041678810842</c:v>
                </c:pt>
                <c:pt idx="2">
                  <c:v>0.0647041678810842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0.151222483654796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931656"/>
        <c:axId val="-1992928664"/>
      </c:barChart>
      <c:catAx>
        <c:axId val="-19929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92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92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93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5519.739038910723</c:v>
                </c:pt>
                <c:pt idx="5">
                  <c:v>9497.38732681916</c:v>
                </c:pt>
                <c:pt idx="6">
                  <c:v>5393.581927001047</c:v>
                </c:pt>
                <c:pt idx="7">
                  <c:v>8220.53494172975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384.0</c:v>
                </c:pt>
                <c:pt idx="5">
                  <c:v>314.9999999999999</c:v>
                </c:pt>
                <c:pt idx="6">
                  <c:v>10234.47792730214</c:v>
                </c:pt>
                <c:pt idx="7">
                  <c:v>47894.26968110985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57.68100002863468</c:v>
                </c:pt>
                <c:pt idx="5">
                  <c:v>464.2278771393137</c:v>
                </c:pt>
                <c:pt idx="6">
                  <c:v>1456.983420878065</c:v>
                </c:pt>
                <c:pt idx="7">
                  <c:v>1382.647607473435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4015.54</c:v>
                </c:pt>
                <c:pt idx="6">
                  <c:v>25403.47857872544</c:v>
                </c:pt>
                <c:pt idx="7">
                  <c:v>25049.01342160667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1572.600304615381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19053.94285714286</c:v>
                </c:pt>
                <c:pt idx="5">
                  <c:v>3496.5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110043.4285714286</c:v>
                </c:pt>
                <c:pt idx="7">
                  <c:v>110762.6666666667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5929.64961622407</c:v>
                </c:pt>
                <c:pt idx="5">
                  <c:v>2534.4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026152"/>
        <c:axId val="-20590399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026152"/>
        <c:axId val="-2059039928"/>
      </c:lineChart>
      <c:catAx>
        <c:axId val="-205902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3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3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2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192696"/>
        <c:axId val="-20591978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92696"/>
        <c:axId val="-2059197880"/>
      </c:lineChart>
      <c:catAx>
        <c:axId val="-205919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9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9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9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299208"/>
        <c:axId val="-2059304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99208"/>
        <c:axId val="-2059304936"/>
      </c:lineChart>
      <c:catAx>
        <c:axId val="-2059299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30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30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299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0.0431586601212608</c:v>
                </c:pt>
                <c:pt idx="2">
                  <c:v>0.0199256167256621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0.00828704002864035</c:v>
                </c:pt>
                <c:pt idx="2">
                  <c:v>0.0177358186766718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-0.392005957190614</c:v>
                </c:pt>
                <c:pt idx="2">
                  <c:v>-0.389816159141624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397224"/>
        <c:axId val="-2059402520"/>
      </c:barChart>
      <c:catAx>
        <c:axId val="-20593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0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40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9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0.0292833203628297</c:v>
                </c:pt>
                <c:pt idx="2">
                  <c:v>0.0184399401251853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0.383182710763104</c:v>
                </c:pt>
                <c:pt idx="2">
                  <c:v>0.396786662893676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0.0292833203628297</c:v>
                </c:pt>
                <c:pt idx="2">
                  <c:v>0.0184399401251853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660424"/>
        <c:axId val="1790252136"/>
      </c:barChart>
      <c:catAx>
        <c:axId val="17906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25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25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66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0.0280768005833522</c:v>
                </c:pt>
                <c:pt idx="2">
                  <c:v>0.00698667268176817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0.477933409887341</c:v>
                </c:pt>
                <c:pt idx="2">
                  <c:v>0.501836358738303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0.0280768005833522</c:v>
                </c:pt>
                <c:pt idx="2">
                  <c:v>0.00698667268176817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58104"/>
        <c:axId val="1790651496"/>
      </c:barChart>
      <c:catAx>
        <c:axId val="178995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65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65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5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0.252832012183317</c:v>
                </c:pt>
                <c:pt idx="2">
                  <c:v>0.278139281763473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0.0572477698254484</c:v>
                </c:pt>
                <c:pt idx="2">
                  <c:v>0.133323658004338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-0.275848128305375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907176"/>
        <c:axId val="1790910536"/>
      </c:barChart>
      <c:catAx>
        <c:axId val="179090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1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91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0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0.0423074613058175</c:v>
                </c:pt>
                <c:pt idx="2" formatCode="0.0%">
                  <c:v>0.0423074613058175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0.0429453055506138</c:v>
                </c:pt>
                <c:pt idx="2" formatCode="0.0%">
                  <c:v>0.0429453055506138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0.16577700146771</c:v>
                </c:pt>
                <c:pt idx="2" formatCode="0.0%">
                  <c:v>0.162885866819872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0.0360274475182352</c:v>
                </c:pt>
                <c:pt idx="2" formatCode="0.0%">
                  <c:v>0.03461373842735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0.0141657012433499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0.0029822081898354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0.0216658538505564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0.00697394753843778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0.00451303543131187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0.0374863606157378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0.00382389892007996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0.28454840217669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0.271954634973144</c:v>
                </c:pt>
                <c:pt idx="2" formatCode="0.0%">
                  <c:v>0.171252000235495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393896"/>
        <c:axId val="-2021400088"/>
      </c:barChart>
      <c:catAx>
        <c:axId val="-202139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0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0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9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744728"/>
        <c:axId val="17907390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44728"/>
        <c:axId val="17907390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44728"/>
        <c:axId val="1790739016"/>
      </c:scatterChart>
      <c:catAx>
        <c:axId val="1790744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739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739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744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602136"/>
        <c:axId val="1790596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02136"/>
        <c:axId val="1790596040"/>
      </c:lineChart>
      <c:catAx>
        <c:axId val="17906021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59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59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6021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168696"/>
        <c:axId val="-19931712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173208"/>
        <c:axId val="-1993179272"/>
      </c:scatterChart>
      <c:valAx>
        <c:axId val="-19931686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171288"/>
        <c:crosses val="autoZero"/>
        <c:crossBetween val="midCat"/>
      </c:valAx>
      <c:valAx>
        <c:axId val="-1993171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168696"/>
        <c:crosses val="autoZero"/>
        <c:crossBetween val="midCat"/>
      </c:valAx>
      <c:valAx>
        <c:axId val="-1993173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3179272"/>
        <c:crosses val="autoZero"/>
        <c:crossBetween val="midCat"/>
      </c:valAx>
      <c:valAx>
        <c:axId val="-19931792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173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8648"/>
        <c:axId val="17905040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518648"/>
        <c:axId val="1790504072"/>
      </c:lineChart>
      <c:catAx>
        <c:axId val="179051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504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504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518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0.03962600249066</c:v>
                </c:pt>
                <c:pt idx="2" formatCode="0.0%">
                  <c:v>0.03962600249066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0.0412771378165214</c:v>
                </c:pt>
                <c:pt idx="2" formatCode="0.0%">
                  <c:v>0.0412771378165214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0.186243297945205</c:v>
                </c:pt>
                <c:pt idx="2" formatCode="0.0%">
                  <c:v>0.148076357422072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0.0597462907648629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0.100605686136953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0.00627412993274845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0.0115984998399823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0.0467965065208878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0.0044417591482854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0.223567721181495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0.337226582074214</c:v>
                </c:pt>
                <c:pt idx="2" formatCode="0.0%">
                  <c:v>0.0839159626307628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30696"/>
        <c:axId val="-2021527400"/>
      </c:barChart>
      <c:catAx>
        <c:axId val="-202153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2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2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3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0.00337510007116171</c:v>
                </c:pt>
                <c:pt idx="2" formatCode="0.0%">
                  <c:v>0.00337510007116171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0.178302374911937</c:v>
                </c:pt>
                <c:pt idx="2" formatCode="0.0%">
                  <c:v>0.178302374911937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0.00641666153413726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0.00064345872968165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0.13134849792541</c:v>
                </c:pt>
                <c:pt idx="2" formatCode="0.0%">
                  <c:v>0.305895972370374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588136"/>
        <c:axId val="-1992324744"/>
      </c:barChart>
      <c:catAx>
        <c:axId val="-199258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2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2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58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0.0295250319821184</c:v>
                </c:pt>
                <c:pt idx="1">
                  <c:v>0.0288854846138762</c:v>
                </c:pt>
                <c:pt idx="2">
                  <c:v>0.0335658097026527</c:v>
                </c:pt>
                <c:pt idx="3">
                  <c:v>0.0146903403680194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0.24625811703364</c:v>
                </c:pt>
                <c:pt idx="1">
                  <c:v>0.240923872831888</c:v>
                </c:pt>
                <c:pt idx="2">
                  <c:v>0.279960851493434</c:v>
                </c:pt>
                <c:pt idx="3">
                  <c:v>0.12252706651775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0.0452553318946135</c:v>
                </c:pt>
                <c:pt idx="1">
                  <c:v>0.0442750474895142</c:v>
                </c:pt>
                <c:pt idx="2">
                  <c:v>0.05144894878776</c:v>
                </c:pt>
                <c:pt idx="3">
                  <c:v>0.022517036709806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0.235849665317559</c:v>
                </c:pt>
                <c:pt idx="1">
                  <c:v>0.235849665317559</c:v>
                </c:pt>
                <c:pt idx="2">
                  <c:v>0.235849665317559</c:v>
                </c:pt>
                <c:pt idx="3">
                  <c:v>0.235849665317559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-0.000816763422654495</c:v>
                </c:pt>
                <c:pt idx="2">
                  <c:v>-0.290791130586283</c:v>
                </c:pt>
                <c:pt idx="3">
                  <c:v>-0.404247477715662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62136"/>
        <c:axId val="-2021564904"/>
      </c:barChart>
      <c:catAx>
        <c:axId val="-202156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4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56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0.0607707271909514</c:v>
                </c:pt>
                <c:pt idx="1">
                  <c:v>0.0458959394757152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0.406333686872703</c:v>
                </c:pt>
                <c:pt idx="1">
                  <c:v>0.306875812775046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0.0719290032838151</c:v>
                </c:pt>
                <c:pt idx="1">
                  <c:v>0.0543230159298479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-0.541522596510216</c:v>
                </c:pt>
                <c:pt idx="1">
                  <c:v>-0.550325782286248</c:v>
                </c:pt>
                <c:pt idx="2">
                  <c:v>-0.57748788296997</c:v>
                </c:pt>
                <c:pt idx="3">
                  <c:v>-0.57748788296997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104"/>
        <c:axId val="-1992432952"/>
      </c:barChart>
      <c:catAx>
        <c:axId val="-1992422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432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43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42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0.0287690736879559</c:v>
                </c:pt>
                <c:pt idx="1">
                  <c:v>0.0287690736879559</c:v>
                </c:pt>
                <c:pt idx="2">
                  <c:v>0.055845848923679</c:v>
                </c:pt>
                <c:pt idx="3">
                  <c:v>0.055845848923679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0.0467196283780931</c:v>
                </c:pt>
                <c:pt idx="1">
                  <c:v>0.0514425070029427</c:v>
                </c:pt>
                <c:pt idx="2">
                  <c:v>0.00850453128563083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0.28537376872005</c:v>
                </c:pt>
                <c:pt idx="1">
                  <c:v>0.314222150421062</c:v>
                </c:pt>
                <c:pt idx="2">
                  <c:v>0.0519475481383762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0.0606427873538368</c:v>
                </c:pt>
                <c:pt idx="1">
                  <c:v>0.0667731555542618</c:v>
                </c:pt>
                <c:pt idx="2">
                  <c:v>0.0110390108013015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0.0707813690357545</c:v>
                </c:pt>
                <c:pt idx="1">
                  <c:v>0.0779366445904142</c:v>
                </c:pt>
                <c:pt idx="2">
                  <c:v>0.01288457096732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0.0566628049733994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0.0119288327593416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0.0216658538505564</c:v>
                </c:pt>
                <c:pt idx="1">
                  <c:v>0.0216658538505564</c:v>
                </c:pt>
                <c:pt idx="2">
                  <c:v>0.0216658538505564</c:v>
                </c:pt>
                <c:pt idx="3">
                  <c:v>0.0216658538505564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0.0278957901537511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0.00530913488139529</c:v>
                </c:pt>
                <c:pt idx="1">
                  <c:v>0.00318620301450618</c:v>
                </c:pt>
                <c:pt idx="2">
                  <c:v>0.00424766894795074</c:v>
                </c:pt>
                <c:pt idx="3">
                  <c:v>0.00530913488139529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0.00764779784015992</c:v>
                </c:pt>
                <c:pt idx="3">
                  <c:v>0.00764779784015992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0.28454840217669</c:v>
                </c:pt>
                <c:pt idx="1">
                  <c:v>0.28454840217669</c:v>
                </c:pt>
                <c:pt idx="2">
                  <c:v>0.28454840217669</c:v>
                </c:pt>
                <c:pt idx="3">
                  <c:v>0.28454840217669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</c:v>
                </c:pt>
                <c:pt idx="2">
                  <c:v>0.40019030744327</c:v>
                </c:pt>
                <c:pt idx="3">
                  <c:v>0.284817693498712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13272"/>
        <c:axId val="-1992622120"/>
      </c:barChart>
      <c:catAx>
        <c:axId val="-199261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22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62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1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0.0269456816936488</c:v>
                </c:pt>
                <c:pt idx="1">
                  <c:v>0.0269456816936488</c:v>
                </c:pt>
                <c:pt idx="2">
                  <c:v>0.0523063232876712</c:v>
                </c:pt>
                <c:pt idx="3">
                  <c:v>0.0523063232876712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0.0799302629504091</c:v>
                </c:pt>
                <c:pt idx="1">
                  <c:v>0.0458658652806034</c:v>
                </c:pt>
                <c:pt idx="2">
                  <c:v>0.123895258423253</c:v>
                </c:pt>
                <c:pt idx="3">
                  <c:v>0.0103086133457344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0.182088956699769</c:v>
                </c:pt>
                <c:pt idx="1">
                  <c:v>0.104486927088665</c:v>
                </c:pt>
                <c:pt idx="2">
                  <c:v>0.282245516448948</c:v>
                </c:pt>
                <c:pt idx="3">
                  <c:v>0.0234840294509061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0.108676153317504</c:v>
                </c:pt>
                <c:pt idx="1">
                  <c:v>0.0623609334347787</c:v>
                </c:pt>
                <c:pt idx="2">
                  <c:v>0.168452593582369</c:v>
                </c:pt>
                <c:pt idx="3">
                  <c:v>0.0140159734636048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0.238985163059451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0.402422744547814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0.0250965197309938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0.0136444752117552</c:v>
                </c:pt>
                <c:pt idx="1">
                  <c:v>0.00818854088702752</c:v>
                </c:pt>
                <c:pt idx="2">
                  <c:v>0.0109165080493914</c:v>
                </c:pt>
                <c:pt idx="3">
                  <c:v>0.0136444752117552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0.00888351829657079</c:v>
                </c:pt>
                <c:pt idx="3">
                  <c:v>0.00888351829657079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0.223567721181495</c:v>
                </c:pt>
                <c:pt idx="1">
                  <c:v>0.223567721181495</c:v>
                </c:pt>
                <c:pt idx="2">
                  <c:v>0.223567721181495</c:v>
                </c:pt>
                <c:pt idx="3">
                  <c:v>0.223567721181495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-2.22044604925031E-16</c:v>
                </c:pt>
                <c:pt idx="3">
                  <c:v>0.335663850523051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616584"/>
        <c:axId val="-2058613272"/>
      </c:barChart>
      <c:catAx>
        <c:axId val="-2058616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613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61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61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0.0785208422453539</c:v>
                </c:pt>
                <c:pt idx="2">
                  <c:v>0.0785208422453538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0.0134607158134892</c:v>
                </c:pt>
                <c:pt idx="2">
                  <c:v>0.0134607158134892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0.0332715433243025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0.00748609724796806</c:v>
                </c:pt>
                <c:pt idx="2">
                  <c:v>0.00748609724796806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0.0830956794524455</c:v>
                </c:pt>
                <c:pt idx="2">
                  <c:v>0.0830956794524455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0.060230999572223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95336"/>
        <c:axId val="-2058800936"/>
      </c:barChart>
      <c:catAx>
        <c:axId val="-205879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0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0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9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3.3751000711617148E-3</v>
      </c>
      <c r="J7" s="24">
        <f t="shared" si="3"/>
        <v>3.3751000711617148E-3</v>
      </c>
      <c r="K7" s="22">
        <f t="shared" si="4"/>
        <v>6.7502001423234296E-3</v>
      </c>
      <c r="L7" s="22">
        <f t="shared" si="5"/>
        <v>3.3751000711617148E-3</v>
      </c>
      <c r="M7" s="177">
        <f t="shared" si="6"/>
        <v>3.3751000711617148E-3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5519.7390389107231</v>
      </c>
      <c r="T7" s="221">
        <f>IF($B$81=0,0,(SUMIF($N$6:$N$28,$U7,M$6:M$28)+SUMIF($N$91:$N$118,$U7,M$91:M$118))*$I$83*Poor!$B$81/$B$81)</f>
        <v>5519.7390389107231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1.3500400284646859E-2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1.3500400284646859E-2</v>
      </c>
      <c r="AH7" s="123">
        <f t="shared" ref="AH7:AH30" si="12">SUM(Z7,AB7,AD7,AF7)</f>
        <v>1</v>
      </c>
      <c r="AI7" s="183">
        <f t="shared" ref="AI7:AI30" si="13">SUM(AA7,AC7,AE7,AG7)/4</f>
        <v>3.3751000711617148E-3</v>
      </c>
      <c r="AJ7" s="120">
        <f t="shared" ref="AJ7:AJ31" si="14">(AA7+AC7)/2</f>
        <v>0</v>
      </c>
      <c r="AK7" s="119">
        <f t="shared" ref="AK7:AK31" si="15">(AE7+AG7)/2</f>
        <v>6.7502001423234296E-3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384</v>
      </c>
      <c r="T8" s="221">
        <f>IF($B$81=0,0,(SUMIF($N$6:$N$28,$U8,M$6:M$28)+SUMIF($N$91:$N$118,$U8,M$91:M$118))*$I$83*Poor!$B$81/$B$81)</f>
        <v>384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0.56972556741517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6.077072719095146E-2</v>
      </c>
      <c r="AB8" s="125">
        <f>IF($Y8=0,0,AC8/$Y8)</f>
        <v>0.43027443258483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4.58959394757152E-2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0.17830237491193737</v>
      </c>
      <c r="J9" s="24">
        <f t="shared" si="3"/>
        <v>0.17830237491193737</v>
      </c>
      <c r="K9" s="22">
        <f t="shared" si="4"/>
        <v>0.16358016046966731</v>
      </c>
      <c r="L9" s="22">
        <f t="shared" si="5"/>
        <v>0.17830237491193737</v>
      </c>
      <c r="M9" s="223">
        <f t="shared" si="6"/>
        <v>0.17830237491193737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57.681000028634685</v>
      </c>
      <c r="T9" s="221">
        <f>IF($B$81=0,0,(SUMIF($N$6:$N$28,$U9,M$6:M$28)+SUMIF($N$91:$N$118,$U9,M$91:M$118))*$I$83*Poor!$B$81/$B$81)</f>
        <v>57.681000028634685</v>
      </c>
      <c r="U9" s="222">
        <v>3</v>
      </c>
      <c r="V9" s="56"/>
      <c r="W9" s="115"/>
      <c r="X9" s="118">
        <f>Poor!X9</f>
        <v>1</v>
      </c>
      <c r="Y9" s="183">
        <f t="shared" si="9"/>
        <v>0.71320949964774949</v>
      </c>
      <c r="Z9" s="125">
        <f>IF($Y9=0,0,AA9/$Y9)</f>
        <v>0.56972556741516989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0.40633368687270349</v>
      </c>
      <c r="AB9" s="125">
        <f>IF($Y9=0,0,AC9/$Y9)</f>
        <v>0.43027443258483011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0.306875812775046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0.17830237491193737</v>
      </c>
      <c r="AJ9" s="120">
        <f t="shared" si="14"/>
        <v>0.35660474982387474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0.56972556741516989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7.1929003283815116E-2</v>
      </c>
      <c r="AB11" s="125">
        <f>IF($Y11=0,0,AC11/$Y11)</f>
        <v>0.43027443258483011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5.4323015929847937E-2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1572.6003046153814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19053.942857142862</v>
      </c>
      <c r="T13" s="221">
        <f>IF($B$81=0,0,(SUMIF($N$6:$N$28,$U13,M$6:M$28)+SUMIF($N$91:$N$118,$U13,M$91:M$118))*$I$83*Poor!$B$81/$B$81)</f>
        <v>19053.942857142862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5929.6496162240701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6.4166615341372576E-3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6.4166615341372576E-3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6.4345872968164992E-4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6.4345872968164992E-4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34107.647468099021</v>
      </c>
      <c r="T23" s="179">
        <f>SUM(T7:T22)</f>
        <v>35112.518931166094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0.72359542407965716</v>
      </c>
      <c r="J30" s="230">
        <f>IF(I$32&lt;=1,I30,1-SUM(J6:J29))</f>
        <v>0.30589597237037369</v>
      </c>
      <c r="K30" s="22">
        <f t="shared" si="4"/>
        <v>0.60449541284468955</v>
      </c>
      <c r="L30" s="22">
        <f>IF(L124=L119,0,IF(K30="",0,(L119-L124)/(B119-B124)*K30))</f>
        <v>0.13134849792541028</v>
      </c>
      <c r="M30" s="175">
        <f t="shared" si="6"/>
        <v>0.30589597237037369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1.2235838894814948</v>
      </c>
      <c r="Z30" s="122">
        <f>IF($Y30=0,0,AA30/($Y$30))</f>
        <v>-0.44257087819266061</v>
      </c>
      <c r="AA30" s="187">
        <f>IF(AA79*4/$I$83+SUM(AA6:AA29)&lt;1,AA79*4/$I$83,1-SUM(AA6:AA29))</f>
        <v>-0.5415225965102165</v>
      </c>
      <c r="AB30" s="122">
        <f>IF($Y30=0,0,AC30/($Y$30))</f>
        <v>-0.44976546930464584</v>
      </c>
      <c r="AC30" s="187">
        <f>IF(AC79*4/$I$83+SUM(AC6:AC29)&lt;1,AC79*4/$I$83,1-SUM(AC6:AC29))</f>
        <v>-0.5503257822862484</v>
      </c>
      <c r="AD30" s="122">
        <f>IF($Y30=0,0,AE30/($Y$30))</f>
        <v>-0.47196427472961122</v>
      </c>
      <c r="AE30" s="187">
        <f>IF(AE79*4/$I$83+SUM(AE6:AE29)&lt;1,AE79*4/$I$83,1-SUM(AE6:AE29))</f>
        <v>-0.57748788296997045</v>
      </c>
      <c r="AF30" s="122">
        <f>IF($Y30=0,0,AG30/($Y$30))</f>
        <v>-0.47196427472961122</v>
      </c>
      <c r="AG30" s="187">
        <f>IF(AG79*4/$I$83+SUM(AG6:AG29)&lt;1,AG79*4/$I$83,1-SUM(AG6:AG29))</f>
        <v>-0.57748788296997045</v>
      </c>
      <c r="AH30" s="123">
        <f t="shared" si="12"/>
        <v>-1.8362648969565289</v>
      </c>
      <c r="AI30" s="183">
        <f t="shared" si="13"/>
        <v>-0.56170603618410153</v>
      </c>
      <c r="AJ30" s="120">
        <f t="shared" si="14"/>
        <v>-0.54592418939823251</v>
      </c>
      <c r="AK30" s="119">
        <f t="shared" si="15"/>
        <v>-0.57748788296997045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0.1746056602714875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11821.270642675539</v>
      </c>
      <c r="T31" s="233">
        <f>IF(T25&gt;T$23,T25-T$23,0)</f>
        <v>10816.399179608467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0.54152259651021661</v>
      </c>
      <c r="AB31" s="131"/>
      <c r="AC31" s="133">
        <f>1-AC32+IF($Y32&lt;0,$Y32/4,0)</f>
        <v>0.6607430473577528</v>
      </c>
      <c r="AD31" s="134"/>
      <c r="AE31" s="133">
        <f>1-AE32+IF($Y32&lt;0,$Y32/4,0)</f>
        <v>1.1597890963039199</v>
      </c>
      <c r="AF31" s="134"/>
      <c r="AG31" s="133">
        <f>1-AG32+IF($Y32&lt;0,$Y32/4,0)</f>
        <v>1.1478613716143629</v>
      </c>
      <c r="AH31" s="123"/>
      <c r="AI31" s="182">
        <f>SUM(AA31,AC31,AE31,AG31)/4</f>
        <v>0.87747902794656296</v>
      </c>
      <c r="AJ31" s="135">
        <f t="shared" si="14"/>
        <v>0.60113282193398465</v>
      </c>
      <c r="AK31" s="136">
        <f t="shared" si="15"/>
        <v>1.1538252339591413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1.4187788663591809</v>
      </c>
      <c r="J32" s="17"/>
      <c r="L32" s="22">
        <f>SUM(L6:L30)</f>
        <v>0.8253943397285125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44559.19064267553</v>
      </c>
      <c r="T32" s="233">
        <f t="shared" si="24"/>
        <v>43554.319179608457</v>
      </c>
      <c r="V32" s="56"/>
      <c r="W32" s="110"/>
      <c r="X32" s="118"/>
      <c r="Y32" s="115">
        <f>SUM(Y6:Y31)</f>
        <v>3.9604919224316486</v>
      </c>
      <c r="Z32" s="137"/>
      <c r="AA32" s="138">
        <f>SUM(AA6:AA30)</f>
        <v>0.45847740348978339</v>
      </c>
      <c r="AB32" s="137"/>
      <c r="AC32" s="139">
        <f>SUM(AC6:AC30)</f>
        <v>0.3392569526422472</v>
      </c>
      <c r="AD32" s="137"/>
      <c r="AE32" s="139">
        <f>SUM(AE6:AE30)</f>
        <v>-0.15978909630391991</v>
      </c>
      <c r="AF32" s="137"/>
      <c r="AG32" s="139">
        <f>SUM(AG6:AG30)</f>
        <v>-0.14786137161436286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0.40462855645422968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9464.34928215742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0.56972556741517</v>
      </c>
      <c r="AA39" s="147">
        <f t="shared" ref="AA39:AA64" si="40">$J39*Z39</f>
        <v>134.45523390998011</v>
      </c>
      <c r="AB39" s="122">
        <f>AB8</f>
        <v>0.43027443258483</v>
      </c>
      <c r="AC39" s="147">
        <f t="shared" ref="AC39:AC64" si="41">$J39*AB39</f>
        <v>101.54476609001988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0.56972556741516989</v>
      </c>
      <c r="AA40" s="147">
        <f t="shared" si="40"/>
        <v>0</v>
      </c>
      <c r="AB40" s="122">
        <f>AB9</f>
        <v>0.43027443258483011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0.56972556741516989</v>
      </c>
      <c r="AA41" s="147">
        <f t="shared" si="40"/>
        <v>0</v>
      </c>
      <c r="AB41" s="122">
        <f>AB11</f>
        <v>0.43027443258483011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336</v>
      </c>
      <c r="J50" s="38">
        <f t="shared" si="32"/>
        <v>336</v>
      </c>
      <c r="K50" s="40">
        <f t="shared" si="33"/>
        <v>6.9950451763334306E-3</v>
      </c>
      <c r="L50" s="22">
        <f t="shared" si="34"/>
        <v>9.7930632468668025E-3</v>
      </c>
      <c r="M50" s="24">
        <f t="shared" si="35"/>
        <v>9.7930632468668025E-3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84</v>
      </c>
      <c r="AB50" s="156">
        <f>Poor!AB55</f>
        <v>0.25</v>
      </c>
      <c r="AC50" s="147">
        <f t="shared" si="41"/>
        <v>84</v>
      </c>
      <c r="AD50" s="156">
        <f>Poor!AD55</f>
        <v>0.25</v>
      </c>
      <c r="AE50" s="147">
        <f t="shared" si="42"/>
        <v>84</v>
      </c>
      <c r="AF50" s="122">
        <f t="shared" si="29"/>
        <v>0.25</v>
      </c>
      <c r="AG50" s="147">
        <f t="shared" si="36"/>
        <v>84</v>
      </c>
      <c r="AH50" s="123">
        <f t="shared" si="37"/>
        <v>1</v>
      </c>
      <c r="AI50" s="112">
        <f t="shared" si="37"/>
        <v>336</v>
      </c>
      <c r="AJ50" s="148">
        <f t="shared" si="38"/>
        <v>168</v>
      </c>
      <c r="AK50" s="147">
        <f t="shared" si="39"/>
        <v>168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1270.449005099071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3.702853410373276E-2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6993.0000000000009</v>
      </c>
      <c r="J54" s="38">
        <f t="shared" si="32"/>
        <v>6993.0000000000009</v>
      </c>
      <c r="K54" s="40">
        <f t="shared" si="33"/>
        <v>0.18361993587875255</v>
      </c>
      <c r="L54" s="22">
        <f t="shared" si="34"/>
        <v>0.20381812882541536</v>
      </c>
      <c r="M54" s="24">
        <f t="shared" si="35"/>
        <v>0.20381812882541536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7459.2000000000007</v>
      </c>
      <c r="J55" s="38">
        <f t="shared" si="32"/>
        <v>7459.2000000000016</v>
      </c>
      <c r="K55" s="40">
        <f t="shared" si="33"/>
        <v>0.19586126493733605</v>
      </c>
      <c r="L55" s="22">
        <f t="shared" si="34"/>
        <v>0.21740600408044303</v>
      </c>
      <c r="M55" s="24">
        <f t="shared" si="35"/>
        <v>0.21740600408044305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2220</v>
      </c>
      <c r="J56" s="38">
        <f t="shared" si="32"/>
        <v>2220.0000000000005</v>
      </c>
      <c r="K56" s="40">
        <f t="shared" si="33"/>
        <v>5.8292043136111922E-2</v>
      </c>
      <c r="L56" s="22">
        <f t="shared" si="34"/>
        <v>6.470416788108424E-2</v>
      </c>
      <c r="M56" s="24">
        <f t="shared" si="35"/>
        <v>6.470416788108424E-2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5188.443414196061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0.15122248365479629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1297.1108535490152</v>
      </c>
      <c r="AB58" s="156">
        <f>Poor!AB58</f>
        <v>0.25</v>
      </c>
      <c r="AC58" s="147">
        <f t="shared" si="41"/>
        <v>1297.1108535490152</v>
      </c>
      <c r="AD58" s="156">
        <f>Poor!AD58</f>
        <v>0.25</v>
      </c>
      <c r="AE58" s="147">
        <f t="shared" si="42"/>
        <v>1297.1108535490152</v>
      </c>
      <c r="AF58" s="122">
        <f t="shared" si="29"/>
        <v>0.25</v>
      </c>
      <c r="AG58" s="147">
        <f t="shared" si="36"/>
        <v>1297.1108535490152</v>
      </c>
      <c r="AH58" s="123">
        <f t="shared" si="37"/>
        <v>1</v>
      </c>
      <c r="AI58" s="112">
        <f t="shared" si="37"/>
        <v>5188.443414196061</v>
      </c>
      <c r="AJ58" s="148">
        <f t="shared" si="38"/>
        <v>2594.2217070980305</v>
      </c>
      <c r="AK58" s="147">
        <f t="shared" si="39"/>
        <v>2594.2217070980305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0.35499854269892162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24980.7</v>
      </c>
      <c r="J65" s="39">
        <f>SUM(J37:J64)</f>
        <v>23703.092419295135</v>
      </c>
      <c r="K65" s="40">
        <f>SUM(K37:K64)</f>
        <v>1</v>
      </c>
      <c r="L65" s="22">
        <f>SUM(L37:L64)</f>
        <v>0.66554357330224423</v>
      </c>
      <c r="M65" s="24">
        <f>SUM(M37:M64)</f>
        <v>0.69085084288239973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1515.5660874589953</v>
      </c>
      <c r="AB65" s="137"/>
      <c r="AC65" s="153">
        <f>SUM(AC37:AC64)</f>
        <v>1482.6556196390352</v>
      </c>
      <c r="AD65" s="137"/>
      <c r="AE65" s="153">
        <f>SUM(AE37:AE64)</f>
        <v>1381.1108535490152</v>
      </c>
      <c r="AF65" s="137"/>
      <c r="AG65" s="153">
        <f>SUM(AG37:AG64)</f>
        <v>1381.1108535490152</v>
      </c>
      <c r="AH65" s="137"/>
      <c r="AI65" s="153">
        <f>SUM(AI37:AI64)</f>
        <v>5760.443414196061</v>
      </c>
      <c r="AJ65" s="153">
        <f>SUM(AJ37:AJ64)</f>
        <v>2998.2217070980305</v>
      </c>
      <c r="AK65" s="153">
        <f>SUM(AK37:AK64)</f>
        <v>2762.2217070980305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10820.566338009614</v>
      </c>
      <c r="J71" s="51">
        <f t="shared" si="44"/>
        <v>9542.9587573047447</v>
      </c>
      <c r="K71" s="40">
        <f t="shared" ref="K71:K72" si="47">B71/B$76</f>
        <v>0.35649470513941517</v>
      </c>
      <c r="L71" s="22">
        <f t="shared" si="45"/>
        <v>0.25283201218331719</v>
      </c>
      <c r="M71" s="24">
        <f t="shared" ref="M71:M72" si="48">J71/B$76</f>
        <v>0.27813928176347258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10820.566338009614</v>
      </c>
      <c r="J74" s="51">
        <f t="shared" si="44"/>
        <v>4574.3347061288296</v>
      </c>
      <c r="K74" s="40">
        <f>B74/B$76</f>
        <v>0.15967705991340145</v>
      </c>
      <c r="L74" s="22">
        <f t="shared" si="45"/>
        <v>5.7247769825448387E-2</v>
      </c>
      <c r="M74" s="24">
        <f>J74/B$76</f>
        <v>0.13332365800433779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-2024.4673280386021</v>
      </c>
      <c r="AB74" s="156"/>
      <c r="AC74" s="147">
        <f>AC30*$I$83/4</f>
        <v>-2057.3777958585624</v>
      </c>
      <c r="AD74" s="156"/>
      <c r="AE74" s="147">
        <f>AE30*$I$83/4</f>
        <v>-2158.9225619485824</v>
      </c>
      <c r="AF74" s="156"/>
      <c r="AG74" s="147">
        <f>AG30*$I$83/4</f>
        <v>-2158.9225619485824</v>
      </c>
      <c r="AH74" s="155"/>
      <c r="AI74" s="147">
        <f>SUM(AA74,AC74,AE74,AG74)</f>
        <v>-8399.6902477943295</v>
      </c>
      <c r="AJ74" s="148">
        <f>(AA74+AC74)</f>
        <v>-4081.8451238971647</v>
      </c>
      <c r="AK74" s="147">
        <f>(AE74+AG74)</f>
        <v>-4317.8451238971647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24980.700000000004</v>
      </c>
      <c r="J76" s="51">
        <f t="shared" si="44"/>
        <v>23703.092419295135</v>
      </c>
      <c r="K76" s="40">
        <f>SUM(K70:K75)</f>
        <v>1.5427057547682346</v>
      </c>
      <c r="L76" s="22">
        <f>SUM(L70:L75)</f>
        <v>0.72279134312769278</v>
      </c>
      <c r="M76" s="24">
        <f>SUM(M70:M75)</f>
        <v>0.82417450088673749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1515.5660874589953</v>
      </c>
      <c r="AB76" s="137"/>
      <c r="AC76" s="153">
        <f>AC65</f>
        <v>1482.6556196390352</v>
      </c>
      <c r="AD76" s="137"/>
      <c r="AE76" s="153">
        <f>AE65</f>
        <v>1381.1108535490152</v>
      </c>
      <c r="AF76" s="137"/>
      <c r="AG76" s="153">
        <f>AG65</f>
        <v>1381.1108535490152</v>
      </c>
      <c r="AH76" s="137"/>
      <c r="AI76" s="153">
        <f>SUM(AA76,AC76,AE76,AG76)</f>
        <v>5760.443414196061</v>
      </c>
      <c r="AJ76" s="154">
        <f>SUM(AA76,AC76)</f>
        <v>2998.2217070980305</v>
      </c>
      <c r="AK76" s="154">
        <f>SUM(AE76,AG76)</f>
        <v>2762.2217070980305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14432.973333333337</v>
      </c>
      <c r="J77" s="100">
        <f t="shared" si="44"/>
        <v>9464.34928215742</v>
      </c>
      <c r="K77" s="40"/>
      <c r="L77" s="22">
        <f>-(L131*G$37*F$9/F$7)/B$130</f>
        <v>-0.42066375206450995</v>
      </c>
      <c r="M77" s="24">
        <f>-J77/B$76</f>
        <v>-0.27584812830537508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2024.4673280386025</v>
      </c>
      <c r="AB77" s="112"/>
      <c r="AC77" s="111">
        <f>AC31*$I$83/4</f>
        <v>2470.1697033970345</v>
      </c>
      <c r="AD77" s="112"/>
      <c r="AE77" s="111">
        <f>AE31*$I$83/4</f>
        <v>4335.8396270328203</v>
      </c>
      <c r="AF77" s="112"/>
      <c r="AG77" s="111">
        <f>AG31*$I$83/4</f>
        <v>4291.2481564506843</v>
      </c>
      <c r="AH77" s="110"/>
      <c r="AI77" s="154">
        <f>SUM(AA77,AC77,AE77,AG77)</f>
        <v>13121.724814919144</v>
      </c>
      <c r="AJ77" s="153">
        <f>SUM(AA77,AC77)</f>
        <v>4494.6370314356373</v>
      </c>
      <c r="AK77" s="160">
        <f>SUM(AE77,AG77)</f>
        <v>8627.0877834835046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-2024.4673280386023</v>
      </c>
      <c r="AB79" s="112"/>
      <c r="AC79" s="112">
        <f>AA79-AA74+AC65-AC70</f>
        <v>-2057.3777958585624</v>
      </c>
      <c r="AD79" s="112"/>
      <c r="AE79" s="112">
        <f>AC79-AC74+AE65-AE70</f>
        <v>-2158.9225619485824</v>
      </c>
      <c r="AF79" s="112"/>
      <c r="AG79" s="112">
        <f>AE79-AE74+AG65-AG70</f>
        <v>-2158.9225619485824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0.84848484848484851</v>
      </c>
      <c r="I104" s="22">
        <f t="shared" si="54"/>
        <v>2.2469070000220241E-2</v>
      </c>
      <c r="J104" s="24">
        <f>IF(I$32&lt;=1+I131,I104,L104+J$33*(I104-L104))</f>
        <v>2.2469070000220241E-2</v>
      </c>
      <c r="K104" s="22">
        <f t="shared" si="56"/>
        <v>2.6481403928830999E-2</v>
      </c>
      <c r="L104" s="22">
        <f t="shared" si="57"/>
        <v>2.2469070000220241E-2</v>
      </c>
      <c r="M104" s="227">
        <f t="shared" si="49"/>
        <v>2.2469070000220241E-2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8.4957760795479731E-2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8.4957760795479731E-2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0.67272727272727284</v>
      </c>
      <c r="I108" s="22">
        <f t="shared" si="61"/>
        <v>0.46763751937958387</v>
      </c>
      <c r="J108" s="24">
        <f t="shared" si="62"/>
        <v>0.46763751937958387</v>
      </c>
      <c r="K108" s="22">
        <f t="shared" si="63"/>
        <v>0.69513685313181373</v>
      </c>
      <c r="L108" s="22">
        <f t="shared" si="64"/>
        <v>0.46763751937958387</v>
      </c>
      <c r="M108" s="227">
        <f t="shared" si="65"/>
        <v>0.46763751937958387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0.67272727272727284</v>
      </c>
      <c r="I109" s="22">
        <f t="shared" si="61"/>
        <v>0.49881335400488946</v>
      </c>
      <c r="J109" s="24">
        <f t="shared" si="62"/>
        <v>0.49881335400488946</v>
      </c>
      <c r="K109" s="22">
        <f t="shared" si="63"/>
        <v>0.74147931000726797</v>
      </c>
      <c r="L109" s="22">
        <f t="shared" si="64"/>
        <v>0.49881335400488946</v>
      </c>
      <c r="M109" s="227">
        <f t="shared" si="65"/>
        <v>0.49881335400488946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0.67272727272727284</v>
      </c>
      <c r="I110" s="22">
        <f t="shared" si="61"/>
        <v>0.14845635535859805</v>
      </c>
      <c r="J110" s="24">
        <f t="shared" si="62"/>
        <v>0.14845635535859805</v>
      </c>
      <c r="K110" s="22">
        <f t="shared" si="63"/>
        <v>0.22067836607359165</v>
      </c>
      <c r="L110" s="22">
        <f t="shared" si="64"/>
        <v>0.14845635535859805</v>
      </c>
      <c r="M110" s="227">
        <f t="shared" si="65"/>
        <v>0.14845635535859805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0.3469627924575982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0.3469627924575982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</v>
      </c>
      <c r="I114" s="22">
        <f t="shared" si="61"/>
        <v>0</v>
      </c>
      <c r="J114" s="24">
        <f t="shared" si="62"/>
        <v>0</v>
      </c>
      <c r="K114" s="22">
        <f t="shared" si="63"/>
        <v>1.3439312493881732</v>
      </c>
      <c r="L114" s="22">
        <f t="shared" si="64"/>
        <v>0</v>
      </c>
      <c r="M114" s="227">
        <f t="shared" si="65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1.6705151695074461</v>
      </c>
      <c r="J119" s="24">
        <f>SUM(J91:J118)</f>
        <v>1.5850786987822385</v>
      </c>
      <c r="K119" s="22">
        <f>SUM(K91:K118)</f>
        <v>3.7857373699924648</v>
      </c>
      <c r="L119" s="22">
        <f>SUM(L91:L118)</f>
        <v>1.5270140465506823</v>
      </c>
      <c r="M119" s="57">
        <f t="shared" si="49"/>
        <v>1.5850786987822385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0.72359542407965716</v>
      </c>
      <c r="J125" s="236">
        <f>IF(SUMPRODUCT($B$124:$B125,$H$124:$H125)&lt;J$119,($B125*$H125),IF(SUMPRODUCT($B$124:$B124,$H$124:$H124)&lt;J$119,J$119-SUMPRODUCT($B$124:$B124,$H$124:$H124),0))</f>
        <v>0.63815895335444961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0.5800943011228934</v>
      </c>
      <c r="M125" s="239">
        <f t="shared" si="66"/>
        <v>0.63815895335444961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0.72359542407965716</v>
      </c>
      <c r="J128" s="227">
        <f>(J30)</f>
        <v>0.30589597237037369</v>
      </c>
      <c r="K128" s="29">
        <f>(B128)</f>
        <v>0.60449541284468955</v>
      </c>
      <c r="L128" s="29">
        <f>IF(L124=L119,0,(L119-L124)/(B119-B124)*K128)</f>
        <v>0.13134849792541028</v>
      </c>
      <c r="M128" s="239">
        <f t="shared" si="66"/>
        <v>0.30589597237037369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1.6705151695074461</v>
      </c>
      <c r="J130" s="227">
        <f>(J119)</f>
        <v>1.5850786987822385</v>
      </c>
      <c r="K130" s="29">
        <f>(B130)</f>
        <v>3.7857373699924648</v>
      </c>
      <c r="L130" s="29">
        <f>(L119)</f>
        <v>1.5270140465506823</v>
      </c>
      <c r="M130" s="239">
        <f t="shared" si="66"/>
        <v>1.5850786987822385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0.96516514326779412</v>
      </c>
      <c r="J131" s="236">
        <f>IF(SUMPRODUCT($B124:$B125,$H124:$H125)&gt;(J119-J128),SUMPRODUCT($B124:$B125,$H124:$H125)+J128-J119,0)</f>
        <v>0.63290216228371809</v>
      </c>
      <c r="K131" s="29"/>
      <c r="L131" s="29">
        <f>IF(I131&lt;SUM(L126:L127),0,I131-(SUM(L126:L127)))</f>
        <v>0.96516514326779412</v>
      </c>
      <c r="M131" s="236">
        <f>IF(I131&lt;SUM(M126:M127),0,I131-(SUM(M126:M127)))</f>
        <v>0.96516514326779412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60" sqref="E6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2.8155317559153171E-2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1.3085801292029887E-2</v>
      </c>
      <c r="J7" s="24">
        <f t="shared" si="3"/>
        <v>1.3085801292029887E-2</v>
      </c>
      <c r="K7" s="22">
        <f t="shared" si="4"/>
        <v>2.6171602584059775E-2</v>
      </c>
      <c r="L7" s="22">
        <f t="shared" si="5"/>
        <v>1.3085801292029887E-2</v>
      </c>
      <c r="M7" s="223">
        <f t="shared" si="6"/>
        <v>1.3085801292029887E-2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6272.8205252183834</v>
      </c>
      <c r="T7" s="221">
        <f>IF($B$81=0,0,(SUMIF($N$6:$N$28,$U7,M$6:M$28)+SUMIF($N$91:$N$118,$U7,M$91:M$118))*$I$83*Poor!$B$81/$B$81)</f>
        <v>9497.3873268191601</v>
      </c>
      <c r="U7" s="222">
        <v>1</v>
      </c>
      <c r="V7" s="56"/>
      <c r="W7" s="115"/>
      <c r="X7" s="124">
        <v>4</v>
      </c>
      <c r="Y7" s="183">
        <f t="shared" ref="Y7:Y29" si="9">M7*4</f>
        <v>5.234320516811955E-2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5.234320516811955E-2</v>
      </c>
      <c r="AH7" s="123">
        <f t="shared" ref="AH7:AH30" si="12">SUM(Z7,AB7,AD7,AF7)</f>
        <v>1</v>
      </c>
      <c r="AI7" s="183">
        <f t="shared" ref="AI7:AI30" si="13">SUM(AA7,AC7,AE7,AG7)/4</f>
        <v>1.3085801292029887E-2</v>
      </c>
      <c r="AJ7" s="120">
        <f t="shared" ref="AJ7:AJ31" si="14">(AA7+AC7)/2</f>
        <v>0</v>
      </c>
      <c r="AK7" s="119">
        <f t="shared" ref="AK7:AK31" si="15">(AE7+AG7)/2</f>
        <v>2.6171602584059775E-2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1714.9999999999995</v>
      </c>
      <c r="T8" s="221">
        <f>IF($B$81=0,0,(SUMIF($N$6:$N$28,$U8,M$6:M$28)+SUMIF($N$91:$N$118,$U8,M$91:M$118))*$I$83*Poor!$B$81/$B$81)</f>
        <v>314.99999999999994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0.27679717483236016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2.9525031982118415E-2</v>
      </c>
      <c r="AB8" s="125">
        <f>IF($Y8=0,0,AC8/$Y8)</f>
        <v>0.27080141825508913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2.8885484613876175E-2</v>
      </c>
      <c r="AD8" s="125">
        <f>IF($Y8=0,0,AE8/$Y8)</f>
        <v>0.31467946596236895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3.3565809702652688E-2</v>
      </c>
      <c r="AF8" s="122">
        <f t="shared" si="10"/>
        <v>0.13772194095018175</v>
      </c>
      <c r="AG8" s="121">
        <f t="shared" si="11"/>
        <v>1.4690340368019385E-2</v>
      </c>
      <c r="AH8" s="123">
        <f t="shared" si="12"/>
        <v>1</v>
      </c>
      <c r="AI8" s="183">
        <f t="shared" si="13"/>
        <v>2.6666666666666665E-2</v>
      </c>
      <c r="AJ8" s="120">
        <f t="shared" si="14"/>
        <v>2.9205258297997295E-2</v>
      </c>
      <c r="AK8" s="119">
        <f t="shared" si="15"/>
        <v>2.4128075035336038E-2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0.22241747696917807</v>
      </c>
      <c r="J9" s="24">
        <f t="shared" si="3"/>
        <v>0.22241747696917807</v>
      </c>
      <c r="K9" s="22">
        <f t="shared" si="4"/>
        <v>0.20405273116438355</v>
      </c>
      <c r="L9" s="22">
        <f t="shared" si="5"/>
        <v>0.22241747696917807</v>
      </c>
      <c r="M9" s="223">
        <f t="shared" si="6"/>
        <v>0.22241747696917807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464.2278771393137</v>
      </c>
      <c r="T9" s="221">
        <f>IF($B$81=0,0,(SUMIF($N$6:$N$28,$U9,M$6:M$28)+SUMIF($N$91:$N$118,$U9,M$91:M$118))*$I$83*Poor!$B$81/$B$81)</f>
        <v>464.2278771393137</v>
      </c>
      <c r="U9" s="222">
        <v>3</v>
      </c>
      <c r="V9" s="56"/>
      <c r="W9" s="115"/>
      <c r="X9" s="124">
        <v>1</v>
      </c>
      <c r="Y9" s="183">
        <f t="shared" si="9"/>
        <v>0.8896699078767123</v>
      </c>
      <c r="Z9" s="125">
        <f>IF($Y9=0,0,AA9/$Y9)</f>
        <v>0.27679717483236022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0.24625811703364012</v>
      </c>
      <c r="AB9" s="125">
        <f>IF($Y9=0,0,AC9/$Y9)</f>
        <v>0.27080141825508913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0.24092387283188821</v>
      </c>
      <c r="AD9" s="125">
        <f>IF($Y9=0,0,AE9/$Y9)</f>
        <v>0.31467946596236895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0.2799608514934338</v>
      </c>
      <c r="AF9" s="122">
        <f t="shared" si="10"/>
        <v>0.13772194095018164</v>
      </c>
      <c r="AG9" s="121">
        <f t="shared" si="11"/>
        <v>0.12252706651775011</v>
      </c>
      <c r="AH9" s="123">
        <f t="shared" si="12"/>
        <v>1</v>
      </c>
      <c r="AI9" s="183">
        <f t="shared" si="13"/>
        <v>0.22241747696917805</v>
      </c>
      <c r="AJ9" s="120">
        <f t="shared" si="14"/>
        <v>0.24359099493276415</v>
      </c>
      <c r="AK9" s="119">
        <f t="shared" si="15"/>
        <v>0.20124395900559194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4015.5399999999995</v>
      </c>
      <c r="T11" s="221">
        <f>IF($B$81=0,0,(SUMIF($N$6:$N$28,$U11,M$6:M$28)+SUMIF($N$91:$N$118,$U11,M$91:M$118))*$I$83*Poor!$B$81/$B$81)</f>
        <v>4015.5399999999995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0.27679717483236016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4.5255331894613504E-2</v>
      </c>
      <c r="AB11" s="125">
        <f>IF($Y11=0,0,AC11/$Y11)</f>
        <v>0.27080141825508919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4.4275047489514191E-2</v>
      </c>
      <c r="AD11" s="125">
        <f>IF($Y11=0,0,AE11/$Y11)</f>
        <v>0.31467946596236895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5.144894878775997E-2</v>
      </c>
      <c r="AF11" s="122">
        <f t="shared" si="10"/>
        <v>0.13772194095018164</v>
      </c>
      <c r="AG11" s="121">
        <f t="shared" si="11"/>
        <v>2.2517036709805965E-2</v>
      </c>
      <c r="AH11" s="123">
        <f t="shared" si="12"/>
        <v>1</v>
      </c>
      <c r="AI11" s="183">
        <f t="shared" si="13"/>
        <v>4.0874091220423403E-2</v>
      </c>
      <c r="AJ11" s="120">
        <f t="shared" si="14"/>
        <v>4.4765189692063848E-2</v>
      </c>
      <c r="AK11" s="119">
        <f t="shared" si="15"/>
        <v>3.6982992748782965E-2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3496.5000000000005</v>
      </c>
      <c r="T13" s="221">
        <f>IF($B$81=0,0,(SUMIF($N$6:$N$28,$U13,M$6:M$28)+SUMIF($N$91:$N$118,$U13,M$91:M$118))*$I$83*Poor!$B$81/$B$81)</f>
        <v>3496.5000000000005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0.23584966531755913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0.23584966531755913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0.94339866127023653</v>
      </c>
      <c r="Z15" s="116">
        <v>0.25</v>
      </c>
      <c r="AA15" s="121">
        <f t="shared" si="16"/>
        <v>0.23584966531755913</v>
      </c>
      <c r="AB15" s="116">
        <v>0.25</v>
      </c>
      <c r="AC15" s="121">
        <f t="shared" si="7"/>
        <v>0.23584966531755913</v>
      </c>
      <c r="AD15" s="116">
        <v>0.25</v>
      </c>
      <c r="AE15" s="121">
        <f t="shared" si="8"/>
        <v>0.23584966531755913</v>
      </c>
      <c r="AF15" s="122">
        <f t="shared" si="10"/>
        <v>0.25</v>
      </c>
      <c r="AG15" s="121">
        <f t="shared" si="11"/>
        <v>0.23584966531755913</v>
      </c>
      <c r="AH15" s="123">
        <f t="shared" si="12"/>
        <v>1</v>
      </c>
      <c r="AI15" s="183">
        <f t="shared" si="13"/>
        <v>0.23584966531755913</v>
      </c>
      <c r="AJ15" s="120">
        <f t="shared" si="14"/>
        <v>0.23584966531755913</v>
      </c>
      <c r="AK15" s="119">
        <f t="shared" si="15"/>
        <v>0.23584966531755913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2534.3999999999996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27279.266964812527</v>
      </c>
      <c r="T23" s="179">
        <f>SUM(T7:T22)</f>
        <v>29526.233766413305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4.9059230781973717E-2</v>
      </c>
      <c r="J30" s="230">
        <f>IF(I$32&lt;=1,I30,1-SUM(J6:J29))</f>
        <v>4.3667688360454981E-2</v>
      </c>
      <c r="K30" s="22">
        <f t="shared" si="4"/>
        <v>0.56576416102117066</v>
      </c>
      <c r="L30" s="22">
        <f>IF(L124=L119,0,IF(K30="",0,(L119-L124)/(B119-B124)*K30))</f>
        <v>2.0403675071242282E-2</v>
      </c>
      <c r="M30" s="175">
        <f t="shared" si="6"/>
        <v>4.3667688360454981E-2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2154.8244792953665</v>
      </c>
      <c r="T30" s="233">
        <f t="shared" si="50"/>
        <v>0</v>
      </c>
      <c r="V30" s="56"/>
      <c r="W30" s="110"/>
      <c r="X30" s="118"/>
      <c r="Y30" s="183">
        <f>M30*4</f>
        <v>0.17467075344181993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-4.6760170581536227E-3</v>
      </c>
      <c r="AC30" s="187">
        <f>IF(AC79*4/$I$83+SUM(AC6:AC29)&lt;1,AC79*4/$I$83,1-SUM(AC6:AC29))</f>
        <v>-8.1676342265449558E-4</v>
      </c>
      <c r="AD30" s="122">
        <f>IF($Y30=0,0,AE30/($Y$30))</f>
        <v>-1.6647957649254723</v>
      </c>
      <c r="AE30" s="187">
        <f>IF(AE79*4/$I$83+SUM(AE6:AE29)&lt;1,AE79*4/$I$83,1-SUM(AE6:AE29))</f>
        <v>-0.2907911305862832</v>
      </c>
      <c r="AF30" s="122">
        <f>IF($Y30=0,0,AG30/($Y$30))</f>
        <v>-2.3143398064651417</v>
      </c>
      <c r="AG30" s="187">
        <f>IF(AG79*4/$I$83+SUM(AG6:AG29)&lt;1,AG79*4/$I$83,1-SUM(AG6:AG29))</f>
        <v>-0.404247477715662</v>
      </c>
      <c r="AH30" s="123">
        <f t="shared" si="12"/>
        <v>-3.9838115884487677</v>
      </c>
      <c r="AI30" s="183">
        <f t="shared" si="13"/>
        <v>-0.17396384293114991</v>
      </c>
      <c r="AJ30" s="120">
        <f t="shared" si="14"/>
        <v>-4.0838171132724779E-4</v>
      </c>
      <c r="AK30" s="119">
        <f t="shared" si="15"/>
        <v>-0.3475193041509726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0.18021168888127204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18649.651145962034</v>
      </c>
      <c r="T31" s="233">
        <f>IF(T25&gt;T$23,T25-T$23,0)</f>
        <v>16402.684344361256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8.1676342265446511E-4</v>
      </c>
      <c r="AD31" s="134"/>
      <c r="AE31" s="133">
        <f>1-AE32+IF($Y32&lt;0,$Y32/4,0)</f>
        <v>0.29079113058628336</v>
      </c>
      <c r="AF31" s="134"/>
      <c r="AG31" s="133">
        <f>1-AG32+IF($Y32&lt;0,$Y32/4,0)</f>
        <v>0.57891823115748231</v>
      </c>
      <c r="AH31" s="123"/>
      <c r="AI31" s="182">
        <f>SUM(AA31,AC31,AE31,AG31)/4</f>
        <v>0.21763153129160503</v>
      </c>
      <c r="AJ31" s="135">
        <f t="shared" si="14"/>
        <v>4.0838171132723255E-4</v>
      </c>
      <c r="AK31" s="136">
        <f t="shared" si="15"/>
        <v>0.43485468087188284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1.0053915424215187</v>
      </c>
      <c r="J32" s="17"/>
      <c r="L32" s="22">
        <f>SUM(L6:L30)</f>
        <v>0.81978831111872796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51387.571145962022</v>
      </c>
      <c r="T32" s="233">
        <f t="shared" si="50"/>
        <v>49140.604344361243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0.99918323657734553</v>
      </c>
      <c r="AD32" s="137"/>
      <c r="AE32" s="139">
        <f>SUM(AE6:AE30)</f>
        <v>0.70920886941371664</v>
      </c>
      <c r="AF32" s="137"/>
      <c r="AG32" s="139">
        <f>SUM(AG6:AG30)</f>
        <v>0.42108176884251775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1.4992002568346403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16402.684344361256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3304</v>
      </c>
      <c r="J37" s="38">
        <f t="shared" ref="J37:J49" si="53">J91*I$83</f>
        <v>3303.9999999999995</v>
      </c>
      <c r="K37" s="40">
        <f t="shared" ref="K37:K49" si="54">(B37/B$65)</f>
        <v>8.3178858310756221E-2</v>
      </c>
      <c r="L37" s="22">
        <f t="shared" ref="L37:L49" si="55">(K37*H37)</f>
        <v>7.852084224535387E-2</v>
      </c>
      <c r="M37" s="24">
        <f t="shared" ref="M37:M49" si="56">J37/B$65</f>
        <v>7.8520842245353856E-2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0.44103403599091273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1457.1764549139755</v>
      </c>
      <c r="AB37" s="122">
        <f>IF($J37=0,0,AC37/($J37))</f>
        <v>0.44125887686256043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1457.9193291538995</v>
      </c>
      <c r="AD37" s="122">
        <f>IF($J37=0,0,AE37/($J37))</f>
        <v>0.11770708714652682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388.90421593212454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0.99999999999999989</v>
      </c>
      <c r="AI37" s="112">
        <f>SUM(AA37,AC37,AE37,AG37)</f>
        <v>3303.9999999999991</v>
      </c>
      <c r="AJ37" s="148">
        <f>(AA37+AC37)</f>
        <v>2915.0957840678748</v>
      </c>
      <c r="AK37" s="147">
        <f>(AE37+AG37)</f>
        <v>388.90421593212454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566.39999999999986</v>
      </c>
      <c r="K38" s="40">
        <f t="shared" si="54"/>
        <v>1.4259232853272494E-2</v>
      </c>
      <c r="L38" s="22">
        <f t="shared" si="55"/>
        <v>1.3460715813489234E-2</v>
      </c>
      <c r="M38" s="24">
        <f t="shared" si="56"/>
        <v>1.3460715813489231E-2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0.44103403599091279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249.80167798525295</v>
      </c>
      <c r="AB38" s="122">
        <f>IF($J38=0,0,AC38/($J38))</f>
        <v>0.43509776390084465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246.43937347343834</v>
      </c>
      <c r="AD38" s="122">
        <f>IF($J38=0,0,AE38/($J38))</f>
        <v>0.12386820010824262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70.158948541308604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566.39999999999986</v>
      </c>
      <c r="AJ38" s="148">
        <f t="shared" ref="AJ38:AJ64" si="62">(AA38+AC38)</f>
        <v>496.24105145869129</v>
      </c>
      <c r="AK38" s="147">
        <f t="shared" ref="AK38:AK64" si="63">(AE38+AG38)</f>
        <v>70.158948541308604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0.27679717483236016</v>
      </c>
      <c r="AA39" s="147">
        <f t="shared" ref="AA39:AA64" si="64">$J39*Z39</f>
        <v>40.17434195516875</v>
      </c>
      <c r="AB39" s="122">
        <f>AB8</f>
        <v>0.27080141825508913</v>
      </c>
      <c r="AC39" s="147">
        <f t="shared" ref="AC39:AC64" si="65">$J39*AB39</f>
        <v>39.30411784554363</v>
      </c>
      <c r="AD39" s="122">
        <f>AD8</f>
        <v>0.31467946596236895</v>
      </c>
      <c r="AE39" s="147">
        <f t="shared" ref="AE39:AE64" si="66">$J39*AD39</f>
        <v>45.672577689778223</v>
      </c>
      <c r="AF39" s="122">
        <f t="shared" si="57"/>
        <v>0.13772194095018175</v>
      </c>
      <c r="AG39" s="147">
        <f t="shared" si="60"/>
        <v>19.988962509509378</v>
      </c>
      <c r="AH39" s="123">
        <f t="shared" si="61"/>
        <v>1</v>
      </c>
      <c r="AI39" s="112">
        <f t="shared" si="61"/>
        <v>145.13999999999999</v>
      </c>
      <c r="AJ39" s="148">
        <f t="shared" si="62"/>
        <v>79.478459800712386</v>
      </c>
      <c r="AK39" s="147">
        <f t="shared" si="63"/>
        <v>65.6615401992876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0.27679717483236022</v>
      </c>
      <c r="AA40" s="147">
        <f t="shared" si="64"/>
        <v>0</v>
      </c>
      <c r="AB40" s="122">
        <f>AB9</f>
        <v>0.27080141825508913</v>
      </c>
      <c r="AC40" s="147">
        <f t="shared" si="65"/>
        <v>0</v>
      </c>
      <c r="AD40" s="122">
        <f>AD9</f>
        <v>0.31467946596236895</v>
      </c>
      <c r="AE40" s="147">
        <f t="shared" si="66"/>
        <v>0</v>
      </c>
      <c r="AF40" s="122">
        <f t="shared" si="57"/>
        <v>0.13772194095018164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0.27679717483236016</v>
      </c>
      <c r="AA41" s="147">
        <f t="shared" si="64"/>
        <v>0</v>
      </c>
      <c r="AB41" s="122">
        <f>AB11</f>
        <v>0.27080141825508919</v>
      </c>
      <c r="AC41" s="147">
        <f t="shared" si="65"/>
        <v>0</v>
      </c>
      <c r="AD41" s="122">
        <f>AD11</f>
        <v>0.31467946596236895</v>
      </c>
      <c r="AE41" s="147">
        <f t="shared" si="66"/>
        <v>0</v>
      </c>
      <c r="AF41" s="122">
        <f t="shared" si="57"/>
        <v>0.13772194095018164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2.376538808878749E-2</v>
      </c>
      <c r="L45" s="22">
        <f t="shared" si="55"/>
        <v>3.3271543324302481E-2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315</v>
      </c>
      <c r="J50" s="38">
        <f t="shared" ref="J50:J64" si="71">J104*I$83</f>
        <v>314.99999999999994</v>
      </c>
      <c r="K50" s="40">
        <f t="shared" ref="K50:K64" si="72">(B50/B$65)</f>
        <v>5.347212319977185E-3</v>
      </c>
      <c r="L50" s="22">
        <f t="shared" ref="L50:L64" si="73">(K50*H50)</f>
        <v>7.4860972479680581E-3</v>
      </c>
      <c r="M50" s="24">
        <f t="shared" ref="M50:M64" si="74">J50/B$65</f>
        <v>7.4860972479680581E-3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1</v>
      </c>
      <c r="F54" s="26">
        <v>1.1100000000000001</v>
      </c>
      <c r="G54" s="22">
        <f t="shared" si="59"/>
        <v>1.65</v>
      </c>
      <c r="H54" s="24">
        <f t="shared" si="69"/>
        <v>1.1100000000000001</v>
      </c>
      <c r="I54" s="39">
        <f t="shared" si="70"/>
        <v>3496.5000000000005</v>
      </c>
      <c r="J54" s="38">
        <f t="shared" si="71"/>
        <v>3496.5000000000005</v>
      </c>
      <c r="K54" s="40">
        <f t="shared" si="72"/>
        <v>7.4860972479680599E-2</v>
      </c>
      <c r="L54" s="22">
        <f t="shared" si="73"/>
        <v>8.3095679452445476E-2</v>
      </c>
      <c r="M54" s="24">
        <f t="shared" si="74"/>
        <v>8.3095679452445476E-2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0.8</v>
      </c>
      <c r="F57" s="26">
        <v>1.18</v>
      </c>
      <c r="G57" s="22">
        <f t="shared" si="59"/>
        <v>1.65</v>
      </c>
      <c r="H57" s="24">
        <f t="shared" si="69"/>
        <v>0.94399999999999995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2534.3999999999996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6.0230999572223005E-2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633.59999999999991</v>
      </c>
      <c r="AB58" s="116">
        <v>0.25</v>
      </c>
      <c r="AC58" s="147">
        <f t="shared" si="65"/>
        <v>633.59999999999991</v>
      </c>
      <c r="AD58" s="116">
        <v>0.25</v>
      </c>
      <c r="AE58" s="147">
        <f t="shared" si="66"/>
        <v>633.59999999999991</v>
      </c>
      <c r="AF58" s="122">
        <f t="shared" si="57"/>
        <v>0.25</v>
      </c>
      <c r="AG58" s="147">
        <f t="shared" si="60"/>
        <v>633.59999999999991</v>
      </c>
      <c r="AH58" s="123">
        <f t="shared" si="61"/>
        <v>1</v>
      </c>
      <c r="AI58" s="112">
        <f t="shared" si="61"/>
        <v>2534.3999999999996</v>
      </c>
      <c r="AJ58" s="148">
        <f t="shared" si="62"/>
        <v>1267.1999999999998</v>
      </c>
      <c r="AK58" s="147">
        <f t="shared" si="63"/>
        <v>1267.1999999999998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0</v>
      </c>
      <c r="F60" s="26">
        <v>1.18</v>
      </c>
      <c r="G60" s="22">
        <f t="shared" si="59"/>
        <v>1.65</v>
      </c>
      <c r="H60" s="24">
        <f t="shared" si="69"/>
        <v>0</v>
      </c>
      <c r="I60" s="39">
        <f t="shared" si="70"/>
        <v>0</v>
      </c>
      <c r="J60" s="38">
        <f t="shared" si="71"/>
        <v>0</v>
      </c>
      <c r="K60" s="40">
        <f t="shared" si="72"/>
        <v>0.59033224012548124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17021.440000000002</v>
      </c>
      <c r="J65" s="39">
        <f>SUM(J37:J64)</f>
        <v>17021.439999999999</v>
      </c>
      <c r="K65" s="40">
        <f>SUM(K37:K64)</f>
        <v>1</v>
      </c>
      <c r="L65" s="22">
        <f>SUM(L37:L64)</f>
        <v>0.42775417082560957</v>
      </c>
      <c r="M65" s="24">
        <f>SUM(M37:M64)</f>
        <v>0.4045211274300109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4045.7524748543974</v>
      </c>
      <c r="AB65" s="137"/>
      <c r="AC65" s="153">
        <f>SUM(AC37:AC64)</f>
        <v>4042.2628204728817</v>
      </c>
      <c r="AD65" s="137"/>
      <c r="AE65" s="153">
        <f>SUM(AE37:AE64)</f>
        <v>2803.3357421632109</v>
      </c>
      <c r="AF65" s="137"/>
      <c r="AG65" s="153">
        <f>SUM(AG37:AG64)</f>
        <v>2318.5889625095092</v>
      </c>
      <c r="AH65" s="137"/>
      <c r="AI65" s="153">
        <f>SUM(AI37:AI64)</f>
        <v>13209.939999999999</v>
      </c>
      <c r="AJ65" s="153">
        <f>SUM(AJ37:AJ64)</f>
        <v>8088.0152953272773</v>
      </c>
      <c r="AK65" s="153">
        <f>SUM(AK37:AK64)</f>
        <v>5121.9247046727196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838.43010058241157</v>
      </c>
      <c r="J71" s="51">
        <f t="shared" si="76"/>
        <v>838.43010058241157</v>
      </c>
      <c r="K71" s="40">
        <f t="shared" ref="K71:K72" si="79">B71/B$76</f>
        <v>0.33220843829713076</v>
      </c>
      <c r="L71" s="22">
        <f t="shared" si="77"/>
        <v>4.3158660121260774E-2</v>
      </c>
      <c r="M71" s="24">
        <f t="shared" ref="M71:M72" si="80">J71/B$76</f>
        <v>1.9925616725662142E-2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0.65934692713532017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838.43010058241157</v>
      </c>
      <c r="J74" s="51">
        <f t="shared" si="76"/>
        <v>746.28777827699787</v>
      </c>
      <c r="K74" s="40">
        <f>B74/B$76</f>
        <v>0.13926517420029469</v>
      </c>
      <c r="L74" s="22">
        <f t="shared" si="77"/>
        <v>8.2870400286403495E-3</v>
      </c>
      <c r="M74" s="24">
        <f>J74/B$76</f>
        <v>1.7735818676671844E-2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-3.4896543815148107</v>
      </c>
      <c r="AD74" s="156"/>
      <c r="AE74" s="147">
        <f>AE30*$I$83/4</f>
        <v>-1242.4167326911861</v>
      </c>
      <c r="AF74" s="156"/>
      <c r="AG74" s="147">
        <f>AG30*$I$83/4</f>
        <v>-1727.1635123448877</v>
      </c>
      <c r="AH74" s="155"/>
      <c r="AI74" s="147">
        <f>SUM(AA74,AC74,AE74,AG74)</f>
        <v>-2973.0698994175887</v>
      </c>
      <c r="AJ74" s="148">
        <f>(AA74+AC74)</f>
        <v>-3.4896543815148107</v>
      </c>
      <c r="AK74" s="147">
        <f>(AE74+AG74)</f>
        <v>-2969.5802450360738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17021.439999999999</v>
      </c>
      <c r="J76" s="51">
        <f t="shared" si="76"/>
        <v>17021.439999999999</v>
      </c>
      <c r="K76" s="40">
        <f>SUM(K70:K75)</f>
        <v>1.4392784697933587</v>
      </c>
      <c r="L76" s="22">
        <f>SUM(L70:L75)</f>
        <v>0.43604121085425002</v>
      </c>
      <c r="M76" s="24">
        <f>SUM(M70:M75)</f>
        <v>0.42225694610668274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4045.7524748543974</v>
      </c>
      <c r="AB76" s="137"/>
      <c r="AC76" s="153">
        <f>AC65</f>
        <v>4042.2628204728817</v>
      </c>
      <c r="AD76" s="137"/>
      <c r="AE76" s="153">
        <f>AE65</f>
        <v>2803.3357421632109</v>
      </c>
      <c r="AF76" s="137"/>
      <c r="AG76" s="153">
        <f>AG65</f>
        <v>2318.5889625095092</v>
      </c>
      <c r="AH76" s="137"/>
      <c r="AI76" s="153">
        <f>SUM(AA76,AC76,AE76,AG76)</f>
        <v>13209.94</v>
      </c>
      <c r="AJ76" s="154">
        <f>SUM(AA76,AC76)</f>
        <v>8088.0152953272791</v>
      </c>
      <c r="AK76" s="154">
        <f>SUM(AE76,AG76)</f>
        <v>5121.9247046727196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16402.684344361256</v>
      </c>
      <c r="K77" s="40"/>
      <c r="L77" s="22">
        <f>-(L131*G$37*F$9/F$7)/B$130</f>
        <v>-0.39200595719061443</v>
      </c>
      <c r="M77" s="24">
        <f>-J77/B$76</f>
        <v>-0.38981615914162404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3.4896543815146805</v>
      </c>
      <c r="AD77" s="112"/>
      <c r="AE77" s="111">
        <f>AE31*$I$83/4</f>
        <v>1242.4167326911868</v>
      </c>
      <c r="AF77" s="112"/>
      <c r="AG77" s="111">
        <f>AG31*$I$83/4</f>
        <v>2473.4512906218874</v>
      </c>
      <c r="AH77" s="110"/>
      <c r="AI77" s="154">
        <f>SUM(AA77,AC77,AE77,AG77)</f>
        <v>3719.3576776945888</v>
      </c>
      <c r="AJ77" s="153">
        <f>SUM(AA77,AC77)</f>
        <v>3.4896543815146805</v>
      </c>
      <c r="AK77" s="160">
        <f>SUM(AE77,AG77)</f>
        <v>3715.8680233130744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4.5474735088646412E-13</v>
      </c>
      <c r="AB79" s="112"/>
      <c r="AC79" s="112">
        <f>AA79-AA74+AC65-AC70</f>
        <v>-3.4896543815148107</v>
      </c>
      <c r="AD79" s="112"/>
      <c r="AE79" s="112">
        <f>AC79-AC74+AE65-AE70</f>
        <v>-1242.4167326911861</v>
      </c>
      <c r="AF79" s="112"/>
      <c r="AG79" s="112">
        <f>AE79-AE74+AG65-AG70</f>
        <v>-1727.1635123448877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0.57212121212121214</v>
      </c>
      <c r="I91" s="22">
        <f t="shared" ref="I91" si="83">(D91*H91)</f>
        <v>0.19332762312689503</v>
      </c>
      <c r="J91" s="24">
        <f>IF(I$32&lt;=1+I$131,I91,L91+J$33*(I91-L91))</f>
        <v>0.19332762312689503</v>
      </c>
      <c r="K91" s="22">
        <f t="shared" ref="K91" si="84">IF(B91="",0,B91)</f>
        <v>0.33791374805018726</v>
      </c>
      <c r="L91" s="22">
        <f t="shared" ref="L91" si="85">(K91*H91)</f>
        <v>0.19332762312689503</v>
      </c>
      <c r="M91" s="226">
        <f t="shared" si="81"/>
        <v>0.19332762312689503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0.57212121212121214</v>
      </c>
      <c r="I92" s="22">
        <f t="shared" ref="I92:I118" si="89">(D92*H92)</f>
        <v>3.3141878250324858E-2</v>
      </c>
      <c r="J92" s="24">
        <f t="shared" ref="J92:J118" si="90">IF(I$32&lt;=1+I$131,I92,L92+J$33*(I92-L92))</f>
        <v>3.3141878250324858E-2</v>
      </c>
      <c r="K92" s="22">
        <f t="shared" ref="K92:K118" si="91">IF(B92="",0,B92)</f>
        <v>5.7928071094317815E-2</v>
      </c>
      <c r="L92" s="22">
        <f t="shared" ref="L92:L118" si="92">(K92*H92)</f>
        <v>3.3141878250324858E-2</v>
      </c>
      <c r="M92" s="226">
        <f t="shared" ref="M92:M118" si="93">(J92)</f>
        <v>3.3141878250324858E-2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0.92484848484848492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0</v>
      </c>
      <c r="K99" s="22">
        <f t="shared" si="91"/>
        <v>9.6546785157196363E-2</v>
      </c>
      <c r="L99" s="22">
        <f t="shared" si="92"/>
        <v>8.1918484375802972E-2</v>
      </c>
      <c r="M99" s="226">
        <f t="shared" si="9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0.84848484848484851</v>
      </c>
      <c r="I104" s="22">
        <f t="shared" si="89"/>
        <v>1.843165898455567E-2</v>
      </c>
      <c r="J104" s="24">
        <f t="shared" si="90"/>
        <v>1.843165898455567E-2</v>
      </c>
      <c r="K104" s="22">
        <f t="shared" si="91"/>
        <v>2.1723026660369182E-2</v>
      </c>
      <c r="L104" s="22">
        <f t="shared" si="92"/>
        <v>1.843165898455567E-2</v>
      </c>
      <c r="M104" s="226">
        <f t="shared" si="93"/>
        <v>1.843165898455567E-2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0.67272727272727284</v>
      </c>
      <c r="I108" s="22">
        <f t="shared" si="89"/>
        <v>0.20459141472856798</v>
      </c>
      <c r="J108" s="24">
        <f t="shared" si="90"/>
        <v>0.20459141472856798</v>
      </c>
      <c r="K108" s="22">
        <f t="shared" si="91"/>
        <v>0.30412237324516855</v>
      </c>
      <c r="L108" s="22">
        <f t="shared" si="92"/>
        <v>0.20459141472856798</v>
      </c>
      <c r="M108" s="226">
        <f t="shared" si="93"/>
        <v>0.20459141472856798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0.67272727272727284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0.57212121212121214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0.14829586200145362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0.14829586200145362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</v>
      </c>
      <c r="I114" s="22">
        <f t="shared" si="89"/>
        <v>0</v>
      </c>
      <c r="J114" s="24">
        <f t="shared" si="90"/>
        <v>0</v>
      </c>
      <c r="K114" s="22">
        <f t="shared" si="91"/>
        <v>2.3982221433047575</v>
      </c>
      <c r="L114" s="22">
        <f t="shared" si="92"/>
        <v>0</v>
      </c>
      <c r="M114" s="226">
        <f t="shared" si="9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0.99597897620976283</v>
      </c>
      <c r="J119" s="24">
        <f>SUM(J91:J118)</f>
        <v>0.99597897620976283</v>
      </c>
      <c r="K119" s="22">
        <f>SUM(K91:K118)</f>
        <v>4.062495625844508</v>
      </c>
      <c r="L119" s="22">
        <f>SUM(L91:L118)</f>
        <v>1.0531814835853235</v>
      </c>
      <c r="M119" s="57">
        <f t="shared" si="81"/>
        <v>0.99597897620976283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4.9059230781973717E-2</v>
      </c>
      <c r="J125" s="236">
        <f>IF(SUMPRODUCT($B$124:$B125,$H$124:$H125)&lt;J$119,($B125*$H125),IF(SUMPRODUCT($B$124:$B124,$H$124:$H124)&lt;J$119,J$119-SUMPRODUCT($B$124:$B124,$H$124:$H124),0))</f>
        <v>4.9059230781973717E-2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0.10626173815753437</v>
      </c>
      <c r="M125" s="239">
        <f t="shared" si="94"/>
        <v>4.9059230781973717E-2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4.9059230781973717E-2</v>
      </c>
      <c r="J128" s="227">
        <f>(J30)</f>
        <v>4.3667688360454981E-2</v>
      </c>
      <c r="K128" s="29">
        <f>(B128)</f>
        <v>0.56576416102117066</v>
      </c>
      <c r="L128" s="29">
        <f>IF(L124=L119,0,(L119-L124)/(B119-B124)*K128)</f>
        <v>2.0403675071242282E-2</v>
      </c>
      <c r="M128" s="239">
        <f t="shared" si="94"/>
        <v>4.3667688360454981E-2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0.99597897620976283</v>
      </c>
      <c r="J130" s="227">
        <f>(J119)</f>
        <v>0.99597897620976283</v>
      </c>
      <c r="K130" s="29">
        <f>(B130)</f>
        <v>4.062495625844508</v>
      </c>
      <c r="L130" s="29">
        <f>(L119)</f>
        <v>1.0531814835853235</v>
      </c>
      <c r="M130" s="239">
        <f t="shared" si="94"/>
        <v>0.99597897620976283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0.95977360084627561</v>
      </c>
      <c r="K131" s="29"/>
      <c r="L131" s="29">
        <f>IF(I131&lt;SUM(L126:L127),0,I131-(SUM(L126:L127)))</f>
        <v>0.96516514326779435</v>
      </c>
      <c r="M131" s="236">
        <f>IF(I131&lt;SUM(M126:M127),0,I131-(SUM(M126:M127)))</f>
        <v>0.96516514326779435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4.2307461305817466E-2</v>
      </c>
      <c r="J6" s="24">
        <f t="shared" ref="J6:J13" si="3">IF(I$32&lt;=1+I$131,I6,B6*H6+J$33*(I6-B6*H6))</f>
        <v>4.2307461305817466E-2</v>
      </c>
      <c r="K6" s="22">
        <f t="shared" ref="K6:K31" si="4">B6</f>
        <v>8.4614922611634932E-2</v>
      </c>
      <c r="L6" s="22">
        <f t="shared" ref="L6:L29" si="5">IF(K6="","",K6*H6)</f>
        <v>4.2307461305817466E-2</v>
      </c>
      <c r="M6" s="223">
        <f t="shared" ref="M6:M31" si="6">J6</f>
        <v>4.2307461305817466E-2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0.16922984522326986</v>
      </c>
      <c r="Z6" s="156">
        <f>Poor!Z6</f>
        <v>0.17</v>
      </c>
      <c r="AA6" s="121">
        <f>$M6*Z6*4</f>
        <v>2.8769073687955879E-2</v>
      </c>
      <c r="AB6" s="156">
        <f>Poor!AB6</f>
        <v>0.17</v>
      </c>
      <c r="AC6" s="121">
        <f t="shared" ref="AC6:AC29" si="7">$M6*AB6*4</f>
        <v>2.8769073687955879E-2</v>
      </c>
      <c r="AD6" s="156">
        <f>Poor!AD6</f>
        <v>0.33</v>
      </c>
      <c r="AE6" s="121">
        <f t="shared" ref="AE6:AE29" si="8">$M6*AD6*4</f>
        <v>5.584584892367906E-2</v>
      </c>
      <c r="AF6" s="122">
        <f>1-SUM(Z6,AB6,AD6)</f>
        <v>0.32999999999999996</v>
      </c>
      <c r="AG6" s="121">
        <f>$M6*AF6*4</f>
        <v>5.5845848923679046E-2</v>
      </c>
      <c r="AH6" s="123">
        <f>SUM(Z6,AB6,AD6,AF6)</f>
        <v>1</v>
      </c>
      <c r="AI6" s="183">
        <f>SUM(AA6,AC6,AE6,AG6)/4</f>
        <v>4.2307461305817466E-2</v>
      </c>
      <c r="AJ6" s="120">
        <f>(AA6+AC6)/2</f>
        <v>2.8769073687955879E-2</v>
      </c>
      <c r="AK6" s="119">
        <f>(AE6+AG6)/2</f>
        <v>5.5845848923679053E-2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4.294530555061378E-2</v>
      </c>
      <c r="J7" s="24">
        <f t="shared" si="3"/>
        <v>4.294530555061378E-2</v>
      </c>
      <c r="K7" s="22">
        <f t="shared" si="4"/>
        <v>8.589061110122756E-2</v>
      </c>
      <c r="L7" s="22">
        <f t="shared" si="5"/>
        <v>4.294530555061378E-2</v>
      </c>
      <c r="M7" s="223">
        <f t="shared" si="6"/>
        <v>4.294530555061378E-2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5573.4703174209053</v>
      </c>
      <c r="T7" s="221">
        <f>IF($B$81=0,0,(SUMIF($N$6:$N$28,$U7,M$6:M$28)+SUMIF($N$91:$N$118,$U7,M$91:M$118))*$I$83*Poor!$B$81/$B$81)</f>
        <v>5393.581927001047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0.17178122220245512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0.17178122220245512</v>
      </c>
      <c r="AH7" s="123">
        <f t="shared" ref="AH7:AH30" si="12">SUM(Z7,AB7,AD7,AF7)</f>
        <v>1</v>
      </c>
      <c r="AI7" s="183">
        <f t="shared" ref="AI7:AI30" si="13">SUM(AA7,AC7,AE7,AG7)/4</f>
        <v>4.294530555061378E-2</v>
      </c>
      <c r="AJ7" s="120">
        <f t="shared" ref="AJ7:AJ31" si="14">(AA7+AC7)/2</f>
        <v>0</v>
      </c>
      <c r="AK7" s="119">
        <f t="shared" ref="AK7:AK31" si="15">(AE7+AG7)/2</f>
        <v>8.589061110122756E-2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10079.968000000003</v>
      </c>
      <c r="T8" s="221">
        <f>IF($B$81=0,0,(SUMIF($N$6:$N$28,$U8,M$6:M$28)+SUMIF($N$91:$N$118,$U8,M$91:M$118))*$I$83*Poor!$B$81/$B$81)</f>
        <v>10234.477927302136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0.43799651604462303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4.6719628378093118E-2</v>
      </c>
      <c r="AB8" s="125">
        <f>IF($Y8=0,0,AC8/$Y8)</f>
        <v>0.48227350315258799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5.1442507002942714E-2</v>
      </c>
      <c r="AD8" s="125">
        <f>IF($Y8=0,0,AE8/$Y8)</f>
        <v>7.9729980802789008E-2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8.5045312856308272E-3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4.9081067690517913E-2</v>
      </c>
      <c r="AK8" s="119">
        <f t="shared" si="15"/>
        <v>4.2522656428154136E-3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0.31313433610567515</v>
      </c>
      <c r="J9" s="24">
        <f t="shared" si="3"/>
        <v>0.16288586681987202</v>
      </c>
      <c r="K9" s="22">
        <f t="shared" si="4"/>
        <v>0.15208899217221136</v>
      </c>
      <c r="L9" s="22">
        <f t="shared" si="5"/>
        <v>0.16577700146771041</v>
      </c>
      <c r="M9" s="223">
        <f t="shared" si="6"/>
        <v>0.16288586681987202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1456.9834208780651</v>
      </c>
      <c r="T9" s="221">
        <f>IF($B$81=0,0,(SUMIF($N$6:$N$28,$U9,M$6:M$28)+SUMIF($N$91:$N$118,$U9,M$91:M$118))*$I$83*Poor!$B$81/$B$81)</f>
        <v>1456.9834208780651</v>
      </c>
      <c r="U9" s="222">
        <v>3</v>
      </c>
      <c r="V9" s="56"/>
      <c r="W9" s="115"/>
      <c r="X9" s="118">
        <f>Poor!X9</f>
        <v>1</v>
      </c>
      <c r="Y9" s="183">
        <f t="shared" si="9"/>
        <v>0.65154346727948809</v>
      </c>
      <c r="Z9" s="125">
        <f>IF($Y9=0,0,AA9/$Y9)</f>
        <v>0.43799651604462297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0.2853737687200496</v>
      </c>
      <c r="AB9" s="125">
        <f>IF($Y9=0,0,AC9/$Y9)</f>
        <v>0.48227350315258793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0.31422215042106227</v>
      </c>
      <c r="AD9" s="125">
        <f>IF($Y9=0,0,AE9/$Y9)</f>
        <v>7.9729980802789063E-2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5.1947548138376209E-2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0.16288586681987202</v>
      </c>
      <c r="AJ9" s="120">
        <f t="shared" si="14"/>
        <v>0.29979795957055594</v>
      </c>
      <c r="AK9" s="119">
        <f t="shared" si="15"/>
        <v>2.5973774069188105E-2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0.10808234255470558</v>
      </c>
      <c r="J10" s="24">
        <f t="shared" si="3"/>
        <v>3.4613738427350035E-2</v>
      </c>
      <c r="K10" s="22">
        <f t="shared" si="4"/>
        <v>3.3052704145169899E-2</v>
      </c>
      <c r="L10" s="22">
        <f t="shared" si="5"/>
        <v>3.6027447518235195E-2</v>
      </c>
      <c r="M10" s="223">
        <f t="shared" si="6"/>
        <v>3.4613738427350035E-2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0.13845495370940014</v>
      </c>
      <c r="Z10" s="125">
        <f>IF($Y10=0,0,AA10/$Y10)</f>
        <v>0.43799651604462297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6.0642787353836811E-2</v>
      </c>
      <c r="AB10" s="125">
        <f>IF($Y10=0,0,AC10/$Y10)</f>
        <v>0.48227350315258793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6.6773155554261804E-2</v>
      </c>
      <c r="AD10" s="125">
        <f>IF($Y10=0,0,AE10/$Y10)</f>
        <v>7.9729980802789105E-2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1.1039010801301527E-2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3.4613738427350035E-2</v>
      </c>
      <c r="AJ10" s="120">
        <f t="shared" si="14"/>
        <v>6.37079714540493E-2</v>
      </c>
      <c r="AK10" s="119">
        <f t="shared" si="15"/>
        <v>5.5195054006507635E-3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25119.839999999997</v>
      </c>
      <c r="T11" s="221">
        <f>IF($B$81=0,0,(SUMIF($N$6:$N$28,$U11,M$6:M$28)+SUMIF($N$91:$N$118,$U11,M$91:M$118))*$I$83*Poor!$B$81/$B$81)</f>
        <v>25403.478578725444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0.43799651604462297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7.0781369035754521E-2</v>
      </c>
      <c r="AB11" s="125">
        <f>IF($Y11=0,0,AC11/$Y11)</f>
        <v>0.48227350315258793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7.7936644590414245E-2</v>
      </c>
      <c r="AD11" s="125">
        <f>IF($Y11=0,0,AE11/$Y11)</f>
        <v>7.9729980802789105E-2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1.2884570967319958E-2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4.0400646148372181E-2</v>
      </c>
      <c r="AJ11" s="120">
        <f t="shared" si="14"/>
        <v>7.4359006813084383E-2</v>
      </c>
      <c r="AK11" s="119">
        <f t="shared" si="15"/>
        <v>6.4422854836599791E-3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1.4165701243349855E-2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1.4165701243349855E-2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5.6662804973399421E-2</v>
      </c>
      <c r="Z13" s="156">
        <f>Poor!Z13</f>
        <v>1</v>
      </c>
      <c r="AA13" s="121">
        <f>$M13*Z13*4</f>
        <v>5.6662804973399421E-2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1.4165701243349855E-2</v>
      </c>
      <c r="AJ13" s="120">
        <f t="shared" si="14"/>
        <v>2.833140248669971E-2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2.9822081898354044E-3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2.9822081898354044E-3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110043.42857142859</v>
      </c>
      <c r="T14" s="221">
        <f>IF($B$81=0,0,(SUMIF($N$6:$N$28,$U14,M$6:M$28)+SUMIF($N$91:$N$118,$U14,M$91:M$118))*$I$83*Poor!$B$81/$B$81)</f>
        <v>110043.42857142859</v>
      </c>
      <c r="U14" s="222">
        <v>8</v>
      </c>
      <c r="V14" s="56"/>
      <c r="W14" s="110"/>
      <c r="X14" s="118"/>
      <c r="Y14" s="183">
        <f>M14*4</f>
        <v>1.1928832759341618E-2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1.1928832759341618E-2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2.9822081898354044E-3</v>
      </c>
      <c r="AJ14" s="120">
        <f t="shared" si="14"/>
        <v>5.9644163796708088E-3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2.166585385055645E-2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2.166585385055645E-2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8.6663415402225802E-2</v>
      </c>
      <c r="Z15" s="156">
        <f>Poor!Z15</f>
        <v>0.25</v>
      </c>
      <c r="AA15" s="121">
        <f t="shared" si="16"/>
        <v>2.166585385055645E-2</v>
      </c>
      <c r="AB15" s="156">
        <f>Poor!AB15</f>
        <v>0.25</v>
      </c>
      <c r="AC15" s="121">
        <f t="shared" si="7"/>
        <v>2.166585385055645E-2</v>
      </c>
      <c r="AD15" s="156">
        <f>Poor!AD15</f>
        <v>0.25</v>
      </c>
      <c r="AE15" s="121">
        <f t="shared" si="8"/>
        <v>2.166585385055645E-2</v>
      </c>
      <c r="AF15" s="122">
        <f t="shared" si="10"/>
        <v>0.25</v>
      </c>
      <c r="AG15" s="121">
        <f t="shared" si="11"/>
        <v>2.166585385055645E-2</v>
      </c>
      <c r="AH15" s="123">
        <f t="shared" si="12"/>
        <v>1</v>
      </c>
      <c r="AI15" s="183">
        <f t="shared" si="13"/>
        <v>2.166585385055645E-2</v>
      </c>
      <c r="AJ15" s="120">
        <f t="shared" si="14"/>
        <v>2.166585385055645E-2</v>
      </c>
      <c r="AK15" s="119">
        <f t="shared" si="15"/>
        <v>2.166585385055645E-2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6.973947538437779E-3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6.973947538437779E-3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2.7895790153751116E-2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2.7895790153751116E-2</v>
      </c>
      <c r="AH16" s="123">
        <f t="shared" si="12"/>
        <v>1</v>
      </c>
      <c r="AI16" s="183">
        <f t="shared" si="13"/>
        <v>6.973947538437779E-3</v>
      </c>
      <c r="AJ16" s="120">
        <f t="shared" si="14"/>
        <v>0</v>
      </c>
      <c r="AK16" s="119">
        <f t="shared" si="15"/>
        <v>1.3947895076875558E-2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4.5130354313118754E-3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4.5130354313118754E-3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1.8052141725247502E-2</v>
      </c>
      <c r="Z17" s="156">
        <f>Poor!Z17</f>
        <v>0.29409999999999997</v>
      </c>
      <c r="AA17" s="121">
        <f t="shared" si="16"/>
        <v>5.3091348813952902E-3</v>
      </c>
      <c r="AB17" s="156">
        <f>Poor!AB17</f>
        <v>0.17649999999999999</v>
      </c>
      <c r="AC17" s="121">
        <f t="shared" si="7"/>
        <v>3.1862030145061839E-3</v>
      </c>
      <c r="AD17" s="156">
        <f>Poor!AD17</f>
        <v>0.23530000000000001</v>
      </c>
      <c r="AE17" s="121">
        <f t="shared" si="8"/>
        <v>4.2476689479507375E-3</v>
      </c>
      <c r="AF17" s="122">
        <f t="shared" si="10"/>
        <v>0.29410000000000003</v>
      </c>
      <c r="AG17" s="121">
        <f t="shared" si="11"/>
        <v>5.309134881395291E-3</v>
      </c>
      <c r="AH17" s="123">
        <f t="shared" si="12"/>
        <v>1</v>
      </c>
      <c r="AI17" s="183">
        <f t="shared" si="13"/>
        <v>4.5130354313118754E-3</v>
      </c>
      <c r="AJ17" s="120">
        <f t="shared" si="14"/>
        <v>4.2476689479507366E-3</v>
      </c>
      <c r="AK17" s="119">
        <f t="shared" si="15"/>
        <v>4.7784019146730142E-3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154017.58418112516</v>
      </c>
      <c r="T23" s="179">
        <f>SUM(T7:T22)</f>
        <v>154275.84429673289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3.748636061573777E-2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3.748636061573777E-2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0.14994544246295108</v>
      </c>
      <c r="Z27" s="156">
        <f>Poor!Z27</f>
        <v>0.25</v>
      </c>
      <c r="AA27" s="121">
        <f t="shared" si="16"/>
        <v>3.748636061573777E-2</v>
      </c>
      <c r="AB27" s="156">
        <f>Poor!AB27</f>
        <v>0.25</v>
      </c>
      <c r="AC27" s="121">
        <f t="shared" si="7"/>
        <v>3.748636061573777E-2</v>
      </c>
      <c r="AD27" s="156">
        <f>Poor!AD27</f>
        <v>0.25</v>
      </c>
      <c r="AE27" s="121">
        <f t="shared" si="8"/>
        <v>3.748636061573777E-2</v>
      </c>
      <c r="AF27" s="122">
        <f t="shared" si="10"/>
        <v>0.25</v>
      </c>
      <c r="AG27" s="121">
        <f t="shared" si="11"/>
        <v>3.748636061573777E-2</v>
      </c>
      <c r="AH27" s="123">
        <f t="shared" si="12"/>
        <v>1</v>
      </c>
      <c r="AI27" s="183">
        <f t="shared" si="13"/>
        <v>3.748636061573777E-2</v>
      </c>
      <c r="AJ27" s="120">
        <f t="shared" si="14"/>
        <v>3.748636061573777E-2</v>
      </c>
      <c r="AK27" s="119">
        <f t="shared" si="15"/>
        <v>3.748636061573777E-2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3.8238989200799606E-3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3.8238989200799606E-3</v>
      </c>
      <c r="N28" s="228"/>
      <c r="O28" s="2"/>
      <c r="P28" s="22"/>
      <c r="V28" s="56"/>
      <c r="W28" s="110"/>
      <c r="X28" s="118"/>
      <c r="Y28" s="183">
        <f t="shared" si="9"/>
        <v>1.5295595680319842E-2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7.6477978401599212E-3</v>
      </c>
      <c r="AF28" s="122">
        <f t="shared" si="10"/>
        <v>0.5</v>
      </c>
      <c r="AG28" s="121">
        <f t="shared" si="11"/>
        <v>7.6477978401599212E-3</v>
      </c>
      <c r="AH28" s="123">
        <f t="shared" si="12"/>
        <v>1</v>
      </c>
      <c r="AI28" s="183">
        <f t="shared" si="13"/>
        <v>3.8238989200799606E-3</v>
      </c>
      <c r="AJ28" s="120">
        <f t="shared" si="14"/>
        <v>0</v>
      </c>
      <c r="AK28" s="119">
        <f t="shared" si="15"/>
        <v>7.6477978401599212E-3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0.28454840217669047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0.28454840217669047</v>
      </c>
      <c r="N29" s="228"/>
      <c r="P29" s="22"/>
      <c r="V29" s="56"/>
      <c r="W29" s="110"/>
      <c r="X29" s="118"/>
      <c r="Y29" s="183">
        <f t="shared" si="9"/>
        <v>1.1381936087067619</v>
      </c>
      <c r="Z29" s="156">
        <f>Poor!Z29</f>
        <v>0.25</v>
      </c>
      <c r="AA29" s="121">
        <f t="shared" si="16"/>
        <v>0.28454840217669047</v>
      </c>
      <c r="AB29" s="156">
        <f>Poor!AB29</f>
        <v>0.25</v>
      </c>
      <c r="AC29" s="121">
        <f t="shared" si="7"/>
        <v>0.28454840217669047</v>
      </c>
      <c r="AD29" s="156">
        <f>Poor!AD29</f>
        <v>0.25</v>
      </c>
      <c r="AE29" s="121">
        <f t="shared" si="8"/>
        <v>0.28454840217669047</v>
      </c>
      <c r="AF29" s="122">
        <f t="shared" si="10"/>
        <v>0.25</v>
      </c>
      <c r="AG29" s="121">
        <f t="shared" si="11"/>
        <v>0.28454840217669047</v>
      </c>
      <c r="AH29" s="123">
        <f t="shared" si="12"/>
        <v>1</v>
      </c>
      <c r="AI29" s="183">
        <f t="shared" si="13"/>
        <v>0.28454840217669047</v>
      </c>
      <c r="AJ29" s="120">
        <f t="shared" si="14"/>
        <v>0.28454840217669047</v>
      </c>
      <c r="AK29" s="119">
        <f t="shared" si="15"/>
        <v>0.28454840217669047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6.2450189661373496</v>
      </c>
      <c r="J30" s="230">
        <f>IF(I$32&lt;=1,I30,1-SUM(J6:J29))</f>
        <v>0.17125200023549536</v>
      </c>
      <c r="K30" s="22">
        <f t="shared" si="4"/>
        <v>0.51164617712150862</v>
      </c>
      <c r="L30" s="22">
        <f>IF(L124=L119,0,IF(K30="",0,(L119-L124)/(B119-B124)*K30))</f>
        <v>0.27195463497314404</v>
      </c>
      <c r="M30" s="175">
        <f t="shared" si="6"/>
        <v>0.17125200023549536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0.68500800094198144</v>
      </c>
      <c r="Z30" s="122">
        <f>IF($Y30=0,0,AA30/($Y$30))</f>
        <v>3.2414892179316012E-16</v>
      </c>
      <c r="AA30" s="187">
        <f>IF(AA79*4/$I$84+SUM(AA6:AA29)&lt;1,AA79*4/$I$84,1-SUM(AA6:AA29))</f>
        <v>2.2204460492503131E-16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0.58421260320018498</v>
      </c>
      <c r="AE30" s="187">
        <f>IF(AE79*4/$I$84+SUM(AE6:AE29)&lt;1,AE79*4/$I$84,1-SUM(AE6:AE29))</f>
        <v>0.40019030744326978</v>
      </c>
      <c r="AF30" s="122">
        <f>IF($Y30=0,0,AG30/($Y$30))</f>
        <v>0.4157873967998148</v>
      </c>
      <c r="AG30" s="187">
        <f>IF(AG79*4/$I$84+SUM(AG6:AG29)&lt;1,AG79*4/$I$84,1-SUM(AG6:AG29))</f>
        <v>0.28481769349871155</v>
      </c>
      <c r="AH30" s="123">
        <f t="shared" si="12"/>
        <v>1</v>
      </c>
      <c r="AI30" s="183">
        <f t="shared" si="13"/>
        <v>0.17125200023549539</v>
      </c>
      <c r="AJ30" s="120">
        <f t="shared" si="14"/>
        <v>1.1102230246251565E-16</v>
      </c>
      <c r="AK30" s="119">
        <f t="shared" si="15"/>
        <v>0.34250400047099067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-0.10928073299035845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7.5195594622203821</v>
      </c>
      <c r="J32" s="17"/>
      <c r="L32" s="22">
        <f>SUM(L6:L30)</f>
        <v>1.1092807329903585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-1.9619889671196041E-2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6608</v>
      </c>
      <c r="J37" s="38">
        <f>J91*I$83</f>
        <v>20083.29646189453</v>
      </c>
      <c r="K37" s="40">
        <f>(B37/B$65)</f>
        <v>0.15121294382799166</v>
      </c>
      <c r="L37" s="22">
        <f t="shared" ref="L37" si="28">(K37*H37)</f>
        <v>0.14274501897362413</v>
      </c>
      <c r="M37" s="24">
        <f>J37/B$65</f>
        <v>0.14461211332254104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3.9348631845974119E-2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790.2502387326424</v>
      </c>
      <c r="AB37" s="122">
        <f>IF($J37=0,0,AC37/($J37))</f>
        <v>5.1846409437952587E-2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1041.2468112271683</v>
      </c>
      <c r="AD37" s="122">
        <f>IF($J37=0,0,AE37/($J37))</f>
        <v>0.17322313369565848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3478.8915480683008</v>
      </c>
      <c r="AF37" s="122">
        <f t="shared" ref="AF37:AF64" si="29">1-SUM(Z37,AB37,AD37)</f>
        <v>0.7355818250204148</v>
      </c>
      <c r="AG37" s="147">
        <f>$J37*AF37</f>
        <v>14772.907863866418</v>
      </c>
      <c r="AH37" s="123">
        <f>SUM(Z37,AB37,AD37,AF37)</f>
        <v>1</v>
      </c>
      <c r="AI37" s="112">
        <f>SUM(AA37,AC37,AE37,AG37)</f>
        <v>20083.29646189453</v>
      </c>
      <c r="AJ37" s="148">
        <f>(AA37+AC37)</f>
        <v>1831.4970499598107</v>
      </c>
      <c r="AK37" s="147">
        <f>(AE37+AG37)</f>
        <v>18251.79941193472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2548.7999999999997</v>
      </c>
      <c r="J38" s="38">
        <f t="shared" ref="J38:J64" si="32">J92*I$83</f>
        <v>1971.2872944902347</v>
      </c>
      <c r="K38" s="40">
        <f t="shared" ref="K38:K64" si="33">(B38/B$65)</f>
        <v>1.5121294382799168E-2</v>
      </c>
      <c r="L38" s="22">
        <f t="shared" ref="L38:L64" si="34">(K38*H38)</f>
        <v>1.4274501897362414E-2</v>
      </c>
      <c r="M38" s="24">
        <f t="shared" ref="M38:M64" si="35">J38/B$65</f>
        <v>1.4194483568123121E-2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3.9348631845974119E-2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77.567458013542605</v>
      </c>
      <c r="AB38" s="122">
        <f>IF($J38=0,0,AC38/($J38))</f>
        <v>5.184640943795258E-2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102.20416818997451</v>
      </c>
      <c r="AD38" s="122">
        <f>IF($J38=0,0,AE38/($J38))</f>
        <v>0.17322313369565848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341.47256256603481</v>
      </c>
      <c r="AF38" s="122">
        <f t="shared" si="29"/>
        <v>0.7355818250204148</v>
      </c>
      <c r="AG38" s="147">
        <f t="shared" ref="AG38:AG64" si="36">$J38*AF38</f>
        <v>1450.0431057206827</v>
      </c>
      <c r="AH38" s="123">
        <f t="shared" ref="AH38:AI58" si="37">SUM(Z38,AB38,AD38,AF38)</f>
        <v>1</v>
      </c>
      <c r="AI38" s="112">
        <f t="shared" si="37"/>
        <v>1971.2872944902347</v>
      </c>
      <c r="AJ38" s="148">
        <f t="shared" ref="AJ38:AJ64" si="38">(AA38+AC38)</f>
        <v>179.77162620351712</v>
      </c>
      <c r="AK38" s="147">
        <f t="shared" ref="AK38:AK64" si="39">(AE38+AG38)</f>
        <v>1791.5156682867175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0.43799651604462303</v>
      </c>
      <c r="AA39" s="147">
        <f t="shared" ref="AA39:AA64" si="40">$J39*Z39</f>
        <v>75.9748756731003</v>
      </c>
      <c r="AB39" s="122">
        <f>AB8</f>
        <v>0.48227350315258799</v>
      </c>
      <c r="AC39" s="147">
        <f t="shared" ref="AC39:AC64" si="41">$J39*AB39</f>
        <v>83.655161856847897</v>
      </c>
      <c r="AD39" s="122">
        <f>AD8</f>
        <v>7.9729980802789008E-2</v>
      </c>
      <c r="AE39" s="147">
        <f t="shared" ref="AE39:AE64" si="42">$J39*AD39</f>
        <v>13.829962470051779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159.6300375299482</v>
      </c>
      <c r="AK39" s="147">
        <f t="shared" si="39"/>
        <v>13.829962470051779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1278.9826402466379</v>
      </c>
      <c r="K40" s="40">
        <f t="shared" si="33"/>
        <v>5.9189066584099609E-3</v>
      </c>
      <c r="L40" s="22">
        <f t="shared" si="34"/>
        <v>9.0322515607336E-3</v>
      </c>
      <c r="M40" s="24">
        <f t="shared" si="35"/>
        <v>9.2094633398376834E-3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0.43799651604462297</v>
      </c>
      <c r="AA40" s="147">
        <f t="shared" si="40"/>
        <v>560.18994050958077</v>
      </c>
      <c r="AB40" s="122">
        <f>AB9</f>
        <v>0.48227350315258793</v>
      </c>
      <c r="AC40" s="147">
        <f t="shared" si="41"/>
        <v>616.81943838309212</v>
      </c>
      <c r="AD40" s="122">
        <f>AD9</f>
        <v>7.9729980802789063E-2</v>
      </c>
      <c r="AE40" s="147">
        <f t="shared" si="42"/>
        <v>101.9732613539649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1278.9826402466379</v>
      </c>
      <c r="AJ40" s="148">
        <f t="shared" si="38"/>
        <v>1177.0093788926729</v>
      </c>
      <c r="AK40" s="147">
        <f t="shared" si="39"/>
        <v>101.9732613539649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622.37598065529812</v>
      </c>
      <c r="K41" s="40">
        <f t="shared" si="33"/>
        <v>2.8802465491046033E-3</v>
      </c>
      <c r="L41" s="22">
        <f t="shared" si="34"/>
        <v>4.3952562339336244E-3</v>
      </c>
      <c r="M41" s="24">
        <f t="shared" si="35"/>
        <v>4.4814906763200393E-3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0.43799651604462297</v>
      </c>
      <c r="AA41" s="147">
        <f t="shared" si="40"/>
        <v>272.59851119687625</v>
      </c>
      <c r="AB41" s="122">
        <f>AB11</f>
        <v>0.48227350315258793</v>
      </c>
      <c r="AC41" s="147">
        <f t="shared" si="41"/>
        <v>300.15544446865795</v>
      </c>
      <c r="AD41" s="122">
        <f>AD11</f>
        <v>7.9729980802789105E-2</v>
      </c>
      <c r="AE41" s="147">
        <f t="shared" si="42"/>
        <v>49.622024989763965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622.37598065529824</v>
      </c>
      <c r="AJ41" s="148">
        <f t="shared" si="38"/>
        <v>572.75395566553425</v>
      </c>
      <c r="AK41" s="147">
        <f t="shared" si="39"/>
        <v>49.622024989763965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1470</v>
      </c>
      <c r="J42" s="38">
        <f t="shared" si="32"/>
        <v>1470</v>
      </c>
      <c r="K42" s="40">
        <f t="shared" si="33"/>
        <v>7.5606471913995839E-3</v>
      </c>
      <c r="L42" s="22">
        <f t="shared" si="34"/>
        <v>1.0584906067959417E-2</v>
      </c>
      <c r="M42" s="24">
        <f t="shared" si="35"/>
        <v>1.0584906067959417E-2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367.5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735</v>
      </c>
      <c r="AF42" s="122">
        <f t="shared" si="29"/>
        <v>0.25</v>
      </c>
      <c r="AG42" s="147">
        <f t="shared" si="36"/>
        <v>367.5</v>
      </c>
      <c r="AH42" s="123">
        <f t="shared" si="37"/>
        <v>1</v>
      </c>
      <c r="AI42" s="112">
        <f t="shared" si="37"/>
        <v>1470</v>
      </c>
      <c r="AJ42" s="148">
        <f t="shared" si="38"/>
        <v>367.5</v>
      </c>
      <c r="AK42" s="147">
        <f t="shared" si="39"/>
        <v>1102.5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799.38199350221771</v>
      </c>
      <c r="K43" s="40">
        <f t="shared" si="33"/>
        <v>4.0323451687464444E-3</v>
      </c>
      <c r="L43" s="22">
        <f t="shared" si="34"/>
        <v>5.6452832362450219E-3</v>
      </c>
      <c r="M43" s="24">
        <f t="shared" si="35"/>
        <v>5.7560430705028021E-3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199.84549837555443</v>
      </c>
      <c r="AB43" s="156">
        <f>Poor!AB43</f>
        <v>0.25</v>
      </c>
      <c r="AC43" s="147">
        <f t="shared" si="41"/>
        <v>199.84549837555443</v>
      </c>
      <c r="AD43" s="156">
        <f>Poor!AD43</f>
        <v>0.25</v>
      </c>
      <c r="AE43" s="147">
        <f t="shared" si="42"/>
        <v>199.84549837555443</v>
      </c>
      <c r="AF43" s="122">
        <f t="shared" si="29"/>
        <v>0.25</v>
      </c>
      <c r="AG43" s="147">
        <f t="shared" si="36"/>
        <v>199.84549837555443</v>
      </c>
      <c r="AH43" s="123">
        <f t="shared" si="37"/>
        <v>1</v>
      </c>
      <c r="AI43" s="112">
        <f t="shared" si="37"/>
        <v>799.38199350221771</v>
      </c>
      <c r="AJ43" s="148">
        <f t="shared" si="38"/>
        <v>399.69099675110886</v>
      </c>
      <c r="AK43" s="147">
        <f t="shared" si="39"/>
        <v>399.69099675110886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1070.6008841547559</v>
      </c>
      <c r="K44" s="40">
        <f t="shared" si="33"/>
        <v>5.400462279571131E-3</v>
      </c>
      <c r="L44" s="22">
        <f t="shared" si="34"/>
        <v>7.560647191399583E-3</v>
      </c>
      <c r="M44" s="24">
        <f t="shared" si="35"/>
        <v>7.7089862551376828E-3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267.65022103868898</v>
      </c>
      <c r="AB44" s="156">
        <f>Poor!AB44</f>
        <v>0.25</v>
      </c>
      <c r="AC44" s="147">
        <f t="shared" si="41"/>
        <v>267.65022103868898</v>
      </c>
      <c r="AD44" s="156">
        <f>Poor!AD44</f>
        <v>0.25</v>
      </c>
      <c r="AE44" s="147">
        <f t="shared" si="42"/>
        <v>267.65022103868898</v>
      </c>
      <c r="AF44" s="122">
        <f t="shared" si="29"/>
        <v>0.25</v>
      </c>
      <c r="AG44" s="147">
        <f t="shared" si="36"/>
        <v>267.65022103868898</v>
      </c>
      <c r="AH44" s="123">
        <f t="shared" si="37"/>
        <v>1</v>
      </c>
      <c r="AI44" s="112">
        <f t="shared" si="37"/>
        <v>1070.6008841547559</v>
      </c>
      <c r="AJ44" s="148">
        <f t="shared" si="38"/>
        <v>535.30044207737797</v>
      </c>
      <c r="AK44" s="147">
        <f t="shared" si="39"/>
        <v>535.30044207737797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2498.0687296944302</v>
      </c>
      <c r="K45" s="40">
        <f t="shared" si="33"/>
        <v>1.2601078652332639E-2</v>
      </c>
      <c r="L45" s="22">
        <f t="shared" si="34"/>
        <v>1.7641510113265695E-2</v>
      </c>
      <c r="M45" s="24">
        <f t="shared" si="35"/>
        <v>1.7987634595321256E-2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624.51718242360755</v>
      </c>
      <c r="AB45" s="156">
        <f>Poor!AB45</f>
        <v>0.25</v>
      </c>
      <c r="AC45" s="147">
        <f t="shared" si="41"/>
        <v>624.51718242360755</v>
      </c>
      <c r="AD45" s="156">
        <f>Poor!AD45</f>
        <v>0.25</v>
      </c>
      <c r="AE45" s="147">
        <f t="shared" si="42"/>
        <v>624.51718242360755</v>
      </c>
      <c r="AF45" s="122">
        <f t="shared" si="29"/>
        <v>0.25</v>
      </c>
      <c r="AG45" s="147">
        <f t="shared" si="36"/>
        <v>624.51718242360755</v>
      </c>
      <c r="AH45" s="123">
        <f t="shared" si="37"/>
        <v>1</v>
      </c>
      <c r="AI45" s="112">
        <f t="shared" si="37"/>
        <v>2498.0687296944302</v>
      </c>
      <c r="AJ45" s="148">
        <f t="shared" si="38"/>
        <v>1249.0343648472151</v>
      </c>
      <c r="AK45" s="147">
        <f t="shared" si="39"/>
        <v>1249.0343648472151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356.86696138491862</v>
      </c>
      <c r="K46" s="40">
        <f t="shared" si="33"/>
        <v>1.8001540931903771E-3</v>
      </c>
      <c r="L46" s="22">
        <f t="shared" si="34"/>
        <v>2.5202157304665277E-3</v>
      </c>
      <c r="M46" s="24">
        <f t="shared" si="35"/>
        <v>2.5696620850458938E-3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89.216740346229656</v>
      </c>
      <c r="AB46" s="156">
        <f>Poor!AB46</f>
        <v>0.25</v>
      </c>
      <c r="AC46" s="147">
        <f t="shared" si="41"/>
        <v>89.216740346229656</v>
      </c>
      <c r="AD46" s="156">
        <f>Poor!AD46</f>
        <v>0.25</v>
      </c>
      <c r="AE46" s="147">
        <f t="shared" si="42"/>
        <v>89.216740346229656</v>
      </c>
      <c r="AF46" s="122">
        <f t="shared" si="29"/>
        <v>0.25</v>
      </c>
      <c r="AG46" s="147">
        <f t="shared" si="36"/>
        <v>89.216740346229656</v>
      </c>
      <c r="AH46" s="123">
        <f t="shared" si="37"/>
        <v>1</v>
      </c>
      <c r="AI46" s="112">
        <f t="shared" si="37"/>
        <v>356.86696138491862</v>
      </c>
      <c r="AJ46" s="148">
        <f t="shared" si="38"/>
        <v>178.43348069245931</v>
      </c>
      <c r="AK46" s="147">
        <f t="shared" si="39"/>
        <v>178.43348069245931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399.69099675110886</v>
      </c>
      <c r="K47" s="40">
        <f t="shared" si="33"/>
        <v>2.0161725843732222E-3</v>
      </c>
      <c r="L47" s="22">
        <f t="shared" si="34"/>
        <v>2.8226416181225109E-3</v>
      </c>
      <c r="M47" s="24">
        <f t="shared" si="35"/>
        <v>2.8780215352514011E-3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99.922749187777214</v>
      </c>
      <c r="AB47" s="156">
        <f>Poor!AB47</f>
        <v>0.25</v>
      </c>
      <c r="AC47" s="147">
        <f t="shared" si="41"/>
        <v>99.922749187777214</v>
      </c>
      <c r="AD47" s="156">
        <f>Poor!AD47</f>
        <v>0.25</v>
      </c>
      <c r="AE47" s="147">
        <f t="shared" si="42"/>
        <v>99.922749187777214</v>
      </c>
      <c r="AF47" s="122">
        <f t="shared" si="29"/>
        <v>0.25</v>
      </c>
      <c r="AG47" s="147">
        <f t="shared" si="36"/>
        <v>99.922749187777214</v>
      </c>
      <c r="AH47" s="123">
        <f t="shared" si="37"/>
        <v>1</v>
      </c>
      <c r="AI47" s="112">
        <f t="shared" si="37"/>
        <v>399.69099675110886</v>
      </c>
      <c r="AJ47" s="148">
        <f t="shared" si="38"/>
        <v>199.84549837555443</v>
      </c>
      <c r="AK47" s="147">
        <f t="shared" si="39"/>
        <v>199.84549837555443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140</v>
      </c>
      <c r="J48" s="38">
        <f t="shared" si="32"/>
        <v>140</v>
      </c>
      <c r="K48" s="40">
        <f t="shared" si="33"/>
        <v>7.2006163727615083E-4</v>
      </c>
      <c r="L48" s="22">
        <f t="shared" si="34"/>
        <v>1.0080862921866111E-3</v>
      </c>
      <c r="M48" s="24">
        <f t="shared" si="35"/>
        <v>1.0080862921866111E-3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35</v>
      </c>
      <c r="AB48" s="156">
        <f>Poor!AB48</f>
        <v>0.25</v>
      </c>
      <c r="AC48" s="147">
        <f t="shared" si="41"/>
        <v>35</v>
      </c>
      <c r="AD48" s="156">
        <f>Poor!AD48</f>
        <v>0.25</v>
      </c>
      <c r="AE48" s="147">
        <f t="shared" si="42"/>
        <v>35</v>
      </c>
      <c r="AF48" s="122">
        <f t="shared" si="29"/>
        <v>0.25</v>
      </c>
      <c r="AG48" s="147">
        <f t="shared" si="36"/>
        <v>35</v>
      </c>
      <c r="AH48" s="123">
        <f t="shared" si="37"/>
        <v>1</v>
      </c>
      <c r="AI48" s="112">
        <f t="shared" si="37"/>
        <v>140</v>
      </c>
      <c r="AJ48" s="148">
        <f t="shared" si="38"/>
        <v>70</v>
      </c>
      <c r="AK48" s="147">
        <f t="shared" si="39"/>
        <v>70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123.19999999999999</v>
      </c>
      <c r="J49" s="38">
        <f t="shared" si="32"/>
        <v>123.2</v>
      </c>
      <c r="K49" s="40">
        <f t="shared" si="33"/>
        <v>6.3365424080301272E-4</v>
      </c>
      <c r="L49" s="22">
        <f t="shared" si="34"/>
        <v>8.871159371242177E-4</v>
      </c>
      <c r="M49" s="24">
        <f t="shared" si="35"/>
        <v>8.871159371242178E-4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30.8</v>
      </c>
      <c r="AB49" s="156">
        <f>Poor!AB49</f>
        <v>0.25</v>
      </c>
      <c r="AC49" s="147">
        <f t="shared" si="41"/>
        <v>30.8</v>
      </c>
      <c r="AD49" s="156">
        <f>Poor!AD49</f>
        <v>0.25</v>
      </c>
      <c r="AE49" s="147">
        <f t="shared" si="42"/>
        <v>30.8</v>
      </c>
      <c r="AF49" s="122">
        <f t="shared" si="29"/>
        <v>0.25</v>
      </c>
      <c r="AG49" s="147">
        <f t="shared" si="36"/>
        <v>30.8</v>
      </c>
      <c r="AH49" s="123">
        <f t="shared" si="37"/>
        <v>1</v>
      </c>
      <c r="AI49" s="112">
        <f t="shared" si="37"/>
        <v>123.2</v>
      </c>
      <c r="AJ49" s="148">
        <f t="shared" si="38"/>
        <v>61.6</v>
      </c>
      <c r="AK49" s="147">
        <f t="shared" si="39"/>
        <v>61.6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196</v>
      </c>
      <c r="J50" s="38">
        <f t="shared" si="32"/>
        <v>196</v>
      </c>
      <c r="K50" s="40">
        <f t="shared" si="33"/>
        <v>1.0080862921866111E-3</v>
      </c>
      <c r="L50" s="22">
        <f t="shared" si="34"/>
        <v>1.4113208090612555E-3</v>
      </c>
      <c r="M50" s="24">
        <f t="shared" si="35"/>
        <v>1.4113208090612557E-3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</v>
      </c>
      <c r="AB50" s="156">
        <f>Poor!AB55</f>
        <v>0.25</v>
      </c>
      <c r="AC50" s="147">
        <f t="shared" si="41"/>
        <v>49</v>
      </c>
      <c r="AD50" s="156">
        <f>Poor!AD55</f>
        <v>0.25</v>
      </c>
      <c r="AE50" s="147">
        <f t="shared" si="42"/>
        <v>49</v>
      </c>
      <c r="AF50" s="122">
        <f t="shared" si="29"/>
        <v>0.25</v>
      </c>
      <c r="AG50" s="147">
        <f t="shared" si="36"/>
        <v>49</v>
      </c>
      <c r="AH50" s="123">
        <f t="shared" si="37"/>
        <v>1</v>
      </c>
      <c r="AI50" s="112">
        <f t="shared" si="37"/>
        <v>196</v>
      </c>
      <c r="AJ50" s="148">
        <f t="shared" si="38"/>
        <v>98</v>
      </c>
      <c r="AK50" s="147">
        <f t="shared" si="39"/>
        <v>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96288</v>
      </c>
      <c r="J57" s="38">
        <f t="shared" si="32"/>
        <v>96288.000000000015</v>
      </c>
      <c r="K57" s="40">
        <f t="shared" si="33"/>
        <v>0.73446287002167387</v>
      </c>
      <c r="L57" s="22">
        <f t="shared" si="34"/>
        <v>0.69333294930046008</v>
      </c>
      <c r="M57" s="24">
        <f t="shared" si="35"/>
        <v>0.69333294930046019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5.3572585813345619E-2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107547.45999999999</v>
      </c>
      <c r="J65" s="39">
        <f>SUM(J37:J64)</f>
        <v>127471.21194277416</v>
      </c>
      <c r="K65" s="40">
        <f>SUM(K37:K64)</f>
        <v>1</v>
      </c>
      <c r="L65" s="22">
        <f>SUM(L37:L64)</f>
        <v>0.91511072387796388</v>
      </c>
      <c r="M65" s="24">
        <f>SUM(M37:M64)</f>
        <v>0.91787129577089188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3540.0334154976003</v>
      </c>
      <c r="AB65" s="137"/>
      <c r="AC65" s="153">
        <f>SUM(AC37:AC64)</f>
        <v>3540.033415497599</v>
      </c>
      <c r="AD65" s="137"/>
      <c r="AE65" s="153">
        <f>SUM(AE37:AE64)</f>
        <v>6116.7417508199742</v>
      </c>
      <c r="AF65" s="137"/>
      <c r="AG65" s="153">
        <f>SUM(AG37:AG64)</f>
        <v>17986.403360958957</v>
      </c>
      <c r="AH65" s="137"/>
      <c r="AI65" s="153">
        <f>SUM(AI37:AI64)</f>
        <v>31183.211942774135</v>
      </c>
      <c r="AJ65" s="153">
        <f>SUM(AJ37:AJ64)</f>
        <v>7080.0668309951989</v>
      </c>
      <c r="AK65" s="153">
        <f>SUM(AK37:AK64)</f>
        <v>24103.145111778933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93387.326338009618</v>
      </c>
      <c r="J74" s="51">
        <f t="shared" si="44"/>
        <v>2560.8835647653609</v>
      </c>
      <c r="K74" s="40">
        <f>B74/B$76</f>
        <v>3.3389479046744219E-2</v>
      </c>
      <c r="L74" s="22">
        <f t="shared" si="45"/>
        <v>2.9283320362829733E-2</v>
      </c>
      <c r="M74" s="24">
        <f>J74/B$76</f>
        <v>1.8439940125185315E-2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1.4296802638199777E-12</v>
      </c>
      <c r="AB74" s="156"/>
      <c r="AC74" s="147">
        <f>AC30*$I$84/4</f>
        <v>0</v>
      </c>
      <c r="AD74" s="156"/>
      <c r="AE74" s="147">
        <f>AE30*$I$84/4</f>
        <v>2576.7083353223752</v>
      </c>
      <c r="AF74" s="156"/>
      <c r="AG74" s="147">
        <f>AG30*$I$84/4</f>
        <v>1833.8578202308379</v>
      </c>
      <c r="AH74" s="155"/>
      <c r="AI74" s="147">
        <f>SUM(AA74,AC74,AE74,AG74)</f>
        <v>4410.5661555532142</v>
      </c>
      <c r="AJ74" s="148">
        <f>(AA74+AC74)</f>
        <v>1.4296802638199777E-12</v>
      </c>
      <c r="AK74" s="147">
        <f>(AE74+AG74)</f>
        <v>4410.5661555532133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55104.541382685071</v>
      </c>
      <c r="K75" s="40">
        <f>B75/B$76</f>
        <v>0.55421887568104133</v>
      </c>
      <c r="L75" s="22">
        <f t="shared" si="45"/>
        <v>0.38318271076310373</v>
      </c>
      <c r="M75" s="24">
        <f>J75/B$76</f>
        <v>0.3967866628936762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3.893091397258788E-13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12612.512125230522</v>
      </c>
      <c r="AJ75" s="151">
        <f>AJ76-SUM(AJ70,AJ74)</f>
        <v>0</v>
      </c>
      <c r="AK75" s="149">
        <f>AJ75+AK76-SUM(AK70,AK74)</f>
        <v>12612.512125230522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107547.46</v>
      </c>
      <c r="J76" s="51">
        <f t="shared" si="44"/>
        <v>127471.21194277416</v>
      </c>
      <c r="K76" s="40">
        <f>SUM(K70:K75)</f>
        <v>1</v>
      </c>
      <c r="L76" s="22">
        <f>SUM(L70:L75)</f>
        <v>0.91511072387796388</v>
      </c>
      <c r="M76" s="24">
        <f>SUM(M70:M75)</f>
        <v>0.91787129577089188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3540.0334154976003</v>
      </c>
      <c r="AB76" s="137"/>
      <c r="AC76" s="153">
        <f>AC65</f>
        <v>3540.033415497599</v>
      </c>
      <c r="AD76" s="137"/>
      <c r="AE76" s="153">
        <f>AE65</f>
        <v>6116.7417508199742</v>
      </c>
      <c r="AF76" s="137"/>
      <c r="AG76" s="153">
        <f>AG65</f>
        <v>17986.403360958957</v>
      </c>
      <c r="AH76" s="137"/>
      <c r="AI76" s="153">
        <f>SUM(AA76,AC76,AE76,AG76)</f>
        <v>31183.211942774131</v>
      </c>
      <c r="AJ76" s="154">
        <f>SUM(AA76,AC76)</f>
        <v>7080.0668309951998</v>
      </c>
      <c r="AK76" s="154">
        <f>SUM(AE76,AG76)</f>
        <v>24103.145111778933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3.893091397258788E-13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1.8189894035458565E-12</v>
      </c>
      <c r="AB79" s="112"/>
      <c r="AC79" s="112">
        <f>AA79-AA74+AC65-AC70</f>
        <v>0</v>
      </c>
      <c r="AD79" s="112"/>
      <c r="AE79" s="112">
        <f>AC79-AC74+AE65-AE70</f>
        <v>2576.7083353223757</v>
      </c>
      <c r="AF79" s="112"/>
      <c r="AG79" s="112">
        <f>AE79-AE74+AG65-AG70</f>
        <v>14446.369945461358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0.57212121212121214</v>
      </c>
      <c r="I91" s="22">
        <f t="shared" ref="I91" si="52">(D91*H91)</f>
        <v>0.44189171000433147</v>
      </c>
      <c r="J91" s="24">
        <f>IF(I$32&lt;=1+I$131,I91,L91+J$33*(I91-L91))</f>
        <v>1.3430148632067966</v>
      </c>
      <c r="K91" s="22">
        <f t="shared" ref="K91" si="53">(B91)</f>
        <v>2.3171228437727125</v>
      </c>
      <c r="L91" s="22">
        <f t="shared" ref="L91" si="54">(K91*H91)</f>
        <v>1.3256751300129943</v>
      </c>
      <c r="M91" s="226">
        <f t="shared" si="49"/>
        <v>1.3430148632067966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0.57212121212121214</v>
      </c>
      <c r="I92" s="22">
        <f t="shared" ref="I92:I118" si="58">(D92*H92)</f>
        <v>0.17044394528738496</v>
      </c>
      <c r="J92" s="24">
        <f t="shared" ref="J92:J118" si="59">IF(I$32&lt;=1+I$131,I92,L92+J$33*(I92-L92))</f>
        <v>0.13182438157870791</v>
      </c>
      <c r="K92" s="22">
        <f t="shared" ref="K92:K118" si="60">(B92)</f>
        <v>0.23171228437727123</v>
      </c>
      <c r="L92" s="22">
        <f t="shared" ref="L92:L118" si="61">(K92*H92)</f>
        <v>0.13256751300129943</v>
      </c>
      <c r="M92" s="226">
        <f t="shared" ref="M92:M118" si="62">(J92)</f>
        <v>0.13182438157870791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8.5528424026095853E-2</v>
      </c>
      <c r="K94" s="22">
        <f t="shared" si="60"/>
        <v>9.0698808456246185E-2</v>
      </c>
      <c r="L94" s="22">
        <f t="shared" si="61"/>
        <v>8.3882655578322238E-2</v>
      </c>
      <c r="M94" s="226">
        <f t="shared" si="62"/>
        <v>8.5528424026095853E-2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4.1619671058927415E-2</v>
      </c>
      <c r="K95" s="22">
        <f t="shared" si="60"/>
        <v>4.4135673214718327E-2</v>
      </c>
      <c r="L95" s="22">
        <f t="shared" si="61"/>
        <v>4.0818810500400107E-2</v>
      </c>
      <c r="M95" s="226">
        <f t="shared" si="62"/>
        <v>4.1619671058927415E-2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0.84848484848484851</v>
      </c>
      <c r="I96" s="22">
        <f t="shared" si="58"/>
        <v>9.8302181250963558E-2</v>
      </c>
      <c r="J96" s="24">
        <f t="shared" si="59"/>
        <v>9.8302181250963558E-2</v>
      </c>
      <c r="K96" s="22">
        <f t="shared" si="60"/>
        <v>0.11585614218863562</v>
      </c>
      <c r="L96" s="22">
        <f t="shared" si="61"/>
        <v>9.8302181250963558E-2</v>
      </c>
      <c r="M96" s="226">
        <f t="shared" si="62"/>
        <v>9.8302181250963558E-2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5.3456458240824199E-2</v>
      </c>
      <c r="K97" s="22">
        <f t="shared" si="60"/>
        <v>6.1789942500605662E-2</v>
      </c>
      <c r="L97" s="22">
        <f t="shared" si="61"/>
        <v>5.2427830000513896E-2</v>
      </c>
      <c r="M97" s="226">
        <f t="shared" si="62"/>
        <v>5.3456458240824199E-2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7.1593470858246702E-2</v>
      </c>
      <c r="K98" s="22">
        <f t="shared" si="60"/>
        <v>8.2754387277596875E-2</v>
      </c>
      <c r="L98" s="22">
        <f t="shared" si="61"/>
        <v>7.0215843750688262E-2</v>
      </c>
      <c r="M98" s="226">
        <f t="shared" si="62"/>
        <v>7.1593470858246702E-2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0.16705143200257563</v>
      </c>
      <c r="K99" s="22">
        <f t="shared" si="60"/>
        <v>0.1930935703143927</v>
      </c>
      <c r="L99" s="22">
        <f t="shared" si="61"/>
        <v>0.16383696875160594</v>
      </c>
      <c r="M99" s="226">
        <f t="shared" si="62"/>
        <v>0.16705143200257563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2.3864490286082233E-2</v>
      </c>
      <c r="K100" s="22">
        <f t="shared" si="60"/>
        <v>2.7584795759198956E-2</v>
      </c>
      <c r="L100" s="22">
        <f t="shared" si="61"/>
        <v>2.3405281250229417E-2</v>
      </c>
      <c r="M100" s="226">
        <f t="shared" si="62"/>
        <v>2.3864490286082233E-2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2.67282291204121E-2</v>
      </c>
      <c r="K101" s="22">
        <f t="shared" si="60"/>
        <v>3.0894971250302831E-2</v>
      </c>
      <c r="L101" s="22">
        <f t="shared" si="61"/>
        <v>2.6213915000256948E-2</v>
      </c>
      <c r="M101" s="226">
        <f t="shared" si="62"/>
        <v>2.67282291204121E-2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0.84848484848484851</v>
      </c>
      <c r="I102" s="22">
        <f t="shared" si="58"/>
        <v>9.3621125000917672E-3</v>
      </c>
      <c r="J102" s="24">
        <f t="shared" si="59"/>
        <v>9.3621125000917672E-3</v>
      </c>
      <c r="K102" s="22">
        <f t="shared" si="60"/>
        <v>1.1033918303679582E-2</v>
      </c>
      <c r="L102" s="22">
        <f t="shared" si="61"/>
        <v>9.3621125000917672E-3</v>
      </c>
      <c r="M102" s="226">
        <f t="shared" si="62"/>
        <v>9.3621125000917672E-3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0.84848484848484851</v>
      </c>
      <c r="I103" s="22">
        <f t="shared" si="58"/>
        <v>8.2386590000807555E-3</v>
      </c>
      <c r="J103" s="24">
        <f t="shared" si="59"/>
        <v>8.2386590000807555E-3</v>
      </c>
      <c r="K103" s="22">
        <f t="shared" si="60"/>
        <v>9.7098481072380328E-3</v>
      </c>
      <c r="L103" s="22">
        <f t="shared" si="61"/>
        <v>8.2386590000807555E-3</v>
      </c>
      <c r="M103" s="226">
        <f t="shared" si="62"/>
        <v>8.2386590000807555E-3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0.84848484848484851</v>
      </c>
      <c r="I104" s="22">
        <f t="shared" si="58"/>
        <v>1.3106957500128474E-2</v>
      </c>
      <c r="J104" s="24">
        <f t="shared" si="59"/>
        <v>1.3106957500128474E-2</v>
      </c>
      <c r="K104" s="22">
        <f t="shared" si="60"/>
        <v>1.5447485625151415E-2</v>
      </c>
      <c r="L104" s="22">
        <f t="shared" si="61"/>
        <v>1.3106957500128474E-2</v>
      </c>
      <c r="M104" s="226">
        <f t="shared" si="62"/>
        <v>1.3106957500128474E-2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0.57212121212121214</v>
      </c>
      <c r="I111" s="22">
        <f t="shared" si="58"/>
        <v>6.4389934886345443</v>
      </c>
      <c r="J111" s="24">
        <f t="shared" si="59"/>
        <v>6.4389934886345443</v>
      </c>
      <c r="K111" s="22">
        <f t="shared" si="60"/>
        <v>11.254596669753175</v>
      </c>
      <c r="L111" s="22">
        <f t="shared" si="61"/>
        <v>6.4389934886345443</v>
      </c>
      <c r="M111" s="226">
        <f t="shared" si="62"/>
        <v>6.4389934886345443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</v>
      </c>
      <c r="I114" s="22">
        <f t="shared" si="58"/>
        <v>0</v>
      </c>
      <c r="J114" s="24">
        <f t="shared" si="59"/>
        <v>0</v>
      </c>
      <c r="K114" s="22">
        <f t="shared" si="60"/>
        <v>0.82092352179376094</v>
      </c>
      <c r="L114" s="22">
        <f t="shared" si="61"/>
        <v>0</v>
      </c>
      <c r="M114" s="226">
        <f t="shared" si="62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7.1919387115651388</v>
      </c>
      <c r="J119" s="24">
        <f>SUM(J91:J118)</f>
        <v>8.5242844766520918</v>
      </c>
      <c r="K119" s="22">
        <f>SUM(K91:K118)</f>
        <v>15.323574722601096</v>
      </c>
      <c r="L119" s="22">
        <f>SUM(L91:L118)</f>
        <v>8.4986470041197322</v>
      </c>
      <c r="M119" s="57">
        <f t="shared" si="49"/>
        <v>8.5242844766520918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6.2450189661373496</v>
      </c>
      <c r="J128" s="227">
        <f>(J30)</f>
        <v>0.17125200023549536</v>
      </c>
      <c r="K128" s="22">
        <f>(B128)</f>
        <v>0.51164617712150862</v>
      </c>
      <c r="L128" s="22">
        <f>IF(L124=L119,0,(L119-L124)/(B119-B124)*K128)</f>
        <v>0.27195463497314404</v>
      </c>
      <c r="M128" s="57">
        <f t="shared" si="63"/>
        <v>0.17125200023549536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3.6849636835047139</v>
      </c>
      <c r="K129" s="29">
        <f>(B129)</f>
        <v>8.4926143541744032</v>
      </c>
      <c r="L129" s="60">
        <f>IF(SUM(L124:L128)&gt;L130,0,L130-SUM(L124:L128))</f>
        <v>3.5586235762347052</v>
      </c>
      <c r="M129" s="57">
        <f t="shared" si="63"/>
        <v>3.6849636835047139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7.1919387115651388</v>
      </c>
      <c r="J130" s="227">
        <f>(J119)</f>
        <v>8.5242844766520918</v>
      </c>
      <c r="K130" s="22">
        <f>(B130)</f>
        <v>15.323574722601096</v>
      </c>
      <c r="L130" s="22">
        <f>(L119)</f>
        <v>8.4986470041197322</v>
      </c>
      <c r="M130" s="57">
        <f t="shared" si="63"/>
        <v>8.5242844766520918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3.962600249066002E-2</v>
      </c>
      <c r="J6" s="24">
        <f t="shared" ref="J6:J13" si="3">IF(I$32&lt;=1+I$131,I6,B6*H6+J$33*(I6-B6*H6))</f>
        <v>3.962600249066002E-2</v>
      </c>
      <c r="K6" s="22">
        <f t="shared" ref="K6:K31" si="4">B6</f>
        <v>7.925200498132004E-2</v>
      </c>
      <c r="L6" s="22">
        <f t="shared" ref="L6:L29" si="5">IF(K6="","",K6*H6)</f>
        <v>3.962600249066002E-2</v>
      </c>
      <c r="M6" s="177">
        <f t="shared" ref="M6:M31" si="6">J6</f>
        <v>3.962600249066002E-2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0.15850400996264008</v>
      </c>
      <c r="Z6" s="156">
        <f>Poor!Z6</f>
        <v>0.17</v>
      </c>
      <c r="AA6" s="121">
        <f>$M6*Z6*4</f>
        <v>2.6945681693648815E-2</v>
      </c>
      <c r="AB6" s="156">
        <f>Poor!AB6</f>
        <v>0.17</v>
      </c>
      <c r="AC6" s="121">
        <f t="shared" ref="AC6:AC29" si="7">$M6*AB6*4</f>
        <v>2.6945681693648815E-2</v>
      </c>
      <c r="AD6" s="156">
        <f>Poor!AD6</f>
        <v>0.33</v>
      </c>
      <c r="AE6" s="121">
        <f t="shared" ref="AE6:AE29" si="8">$M6*AD6*4</f>
        <v>5.2306323287671229E-2</v>
      </c>
      <c r="AF6" s="122">
        <f>1-SUM(Z6,AB6,AD6)</f>
        <v>0.32999999999999996</v>
      </c>
      <c r="AG6" s="121">
        <f>$M6*AF6*4</f>
        <v>5.2306323287671222E-2</v>
      </c>
      <c r="AH6" s="123">
        <f>SUM(Z6,AB6,AD6,AF6)</f>
        <v>1</v>
      </c>
      <c r="AI6" s="183">
        <f>SUM(AA6,AC6,AE6,AG6)/4</f>
        <v>3.962600249066002E-2</v>
      </c>
      <c r="AJ6" s="120">
        <f>(AA6+AC6)/2</f>
        <v>2.6945681693648815E-2</v>
      </c>
      <c r="AK6" s="119">
        <f>(AE6+AG6)/2</f>
        <v>5.2306323287671222E-2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4.1277137816521384E-2</v>
      </c>
      <c r="J7" s="24">
        <f t="shared" si="3"/>
        <v>4.1277137816521384E-2</v>
      </c>
      <c r="K7" s="22">
        <f t="shared" si="4"/>
        <v>8.2554275633042767E-2</v>
      </c>
      <c r="L7" s="22">
        <f t="shared" si="5"/>
        <v>4.1277137816521384E-2</v>
      </c>
      <c r="M7" s="177">
        <f t="shared" si="6"/>
        <v>4.1277137816521384E-2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9070.7837660954574</v>
      </c>
      <c r="T7" s="221">
        <f>IF($B$81=0,0,(SUMIF($N$6:$N$28,$U7,M$6:M$28)+SUMIF($N$91:$N$118,$U7,M$91:M$118))*$I$83*Poor!$B$81/$B$81)</f>
        <v>8220.5349417297493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0.16510855126608553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0.16510855126608553</v>
      </c>
      <c r="AH7" s="123">
        <f t="shared" ref="AH7:AH30" si="12">SUM(Z7,AB7,AD7,AF7)</f>
        <v>1</v>
      </c>
      <c r="AI7" s="183">
        <f t="shared" ref="AI7:AI30" si="13">SUM(AA7,AC7,AE7,AG7)/4</f>
        <v>4.1277137816521384E-2</v>
      </c>
      <c r="AJ7" s="120">
        <f t="shared" ref="AJ7:AJ31" si="14">(AA7+AC7)/2</f>
        <v>0</v>
      </c>
      <c r="AK7" s="119">
        <f t="shared" ref="AK7:AK31" si="15">(AE7+AG7)/2</f>
        <v>8.2554275633042767E-2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47163.19999999999</v>
      </c>
      <c r="T8" s="221">
        <f>IF($B$81=0,0,(SUMIF($N$6:$N$28,$U8,M$6:M$28)+SUMIF($N$91:$N$118,$U8,M$91:M$118))*$I$83*Poor!$B$81/$B$81)</f>
        <v>47894.26968110985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0.30742408827080431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7.9930262950409128E-2</v>
      </c>
      <c r="AB8" s="125">
        <f>IF($Y8=0,0,AC8/$Y8)</f>
        <v>0.17640717415616708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4.5865865280603442E-2</v>
      </c>
      <c r="AD8" s="125">
        <f>IF($Y8=0,0,AE8/$Y8)</f>
        <v>0.47652022470481953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0.12389525842325308</v>
      </c>
      <c r="AF8" s="122">
        <f t="shared" si="10"/>
        <v>3.964851286820914E-2</v>
      </c>
      <c r="AG8" s="121">
        <f t="shared" si="11"/>
        <v>1.0308613345734376E-2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6.2898064115506289E-2</v>
      </c>
      <c r="AK8" s="119">
        <f t="shared" si="15"/>
        <v>6.710193588449373E-2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1.3323559006849315</v>
      </c>
      <c r="J9" s="24">
        <f t="shared" si="3"/>
        <v>0.14807635742207212</v>
      </c>
      <c r="K9" s="22">
        <f t="shared" si="4"/>
        <v>0.17086541095890409</v>
      </c>
      <c r="L9" s="22">
        <f t="shared" si="5"/>
        <v>0.18624329794520547</v>
      </c>
      <c r="M9" s="223">
        <f t="shared" si="6"/>
        <v>0.14807635742207212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1382.6476074734351</v>
      </c>
      <c r="T9" s="221">
        <f>IF($B$81=0,0,(SUMIF($N$6:$N$28,$U9,M$6:M$28)+SUMIF($N$91:$N$118,$U9,M$91:M$118))*$I$83*Poor!$B$81/$B$81)</f>
        <v>1382.6476074734351</v>
      </c>
      <c r="U9" s="222">
        <v>3</v>
      </c>
      <c r="V9" s="56"/>
      <c r="W9" s="115"/>
      <c r="X9" s="118">
        <f>Poor!X9</f>
        <v>1</v>
      </c>
      <c r="Y9" s="183">
        <f t="shared" si="9"/>
        <v>0.59230542968828848</v>
      </c>
      <c r="Z9" s="125">
        <f>IF($Y9=0,0,AA9/$Y9)</f>
        <v>0.30742408827080436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0.1820889566997691</v>
      </c>
      <c r="AB9" s="125">
        <f>IF($Y9=0,0,AC9/$Y9)</f>
        <v>0.17640717415616711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0.10448692708866529</v>
      </c>
      <c r="AD9" s="125">
        <f>IF($Y9=0,0,AE9/$Y9)</f>
        <v>0.47652022470481953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0.28224551644894791</v>
      </c>
      <c r="AF9" s="122">
        <f t="shared" si="10"/>
        <v>3.9648512868208918E-2</v>
      </c>
      <c r="AG9" s="121">
        <f t="shared" si="11"/>
        <v>2.3484029450906118E-2</v>
      </c>
      <c r="AH9" s="123">
        <f t="shared" si="12"/>
        <v>1</v>
      </c>
      <c r="AI9" s="183">
        <f t="shared" si="13"/>
        <v>0.14807635742207212</v>
      </c>
      <c r="AJ9" s="120">
        <f t="shared" si="14"/>
        <v>0.1432879418942172</v>
      </c>
      <c r="AK9" s="119">
        <f t="shared" si="15"/>
        <v>0.15286477294992701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25202.702222222215</v>
      </c>
      <c r="T11" s="221">
        <f>IF($B$81=0,0,(SUMIF($N$6:$N$28,$U11,M$6:M$28)+SUMIF($N$91:$N$118,$U11,M$91:M$118))*$I$83*Poor!$B$81/$B$81)</f>
        <v>25049.013421606673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0.30742408827080436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0.1086761533175036</v>
      </c>
      <c r="AB11" s="125">
        <f>IF($Y11=0,0,AC11/$Y11)</f>
        <v>0.17640717415616708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6.2360933434778741E-2</v>
      </c>
      <c r="AD11" s="125">
        <f>IF($Y11=0,0,AE11/$Y11)</f>
        <v>0.47652022470481953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0.16845259358236933</v>
      </c>
      <c r="AF11" s="122">
        <f t="shared" si="10"/>
        <v>3.9648512868209029E-2</v>
      </c>
      <c r="AG11" s="121">
        <f t="shared" si="11"/>
        <v>1.4015973463604819E-2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8.5518543376141176E-2</v>
      </c>
      <c r="AK11" s="119">
        <f t="shared" si="15"/>
        <v>9.123428352298707E-2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5.9746290764862868E-2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5.9746290764862868E-2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0.23898516305945147</v>
      </c>
      <c r="Z13" s="156">
        <f>Poor!Z13</f>
        <v>1</v>
      </c>
      <c r="AA13" s="121">
        <f>$M13*Z13*4</f>
        <v>0.23898516305945147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5.9746290764862868E-2</v>
      </c>
      <c r="AJ13" s="120">
        <f t="shared" si="14"/>
        <v>0.11949258152972574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0.10060568613695341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0.10060568613695341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110762.66666666667</v>
      </c>
      <c r="T14" s="221">
        <f>IF($B$81=0,0,(SUMIF($N$6:$N$28,$U14,M$6:M$28)+SUMIF($N$91:$N$118,$U14,M$91:M$118))*$I$83*Poor!$B$81/$B$81)</f>
        <v>110762.66666666667</v>
      </c>
      <c r="U14" s="222">
        <v>8</v>
      </c>
      <c r="V14" s="56"/>
      <c r="W14" s="110"/>
      <c r="X14" s="118"/>
      <c r="Y14" s="183">
        <f>M14*4</f>
        <v>0.40242274454781363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0.40242274454781363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0.10060568613695341</v>
      </c>
      <c r="AJ14" s="120">
        <f t="shared" si="14"/>
        <v>0.20121137227390681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6.2741299327484538E-3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6.2741299327484538E-3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2.5096519730993815E-2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2.5096519730993815E-2</v>
      </c>
      <c r="AH16" s="123">
        <f t="shared" si="12"/>
        <v>1</v>
      </c>
      <c r="AI16" s="183">
        <f t="shared" si="13"/>
        <v>6.2741299327484538E-3</v>
      </c>
      <c r="AJ16" s="120">
        <f t="shared" si="14"/>
        <v>0</v>
      </c>
      <c r="AK16" s="119">
        <f t="shared" si="15"/>
        <v>1.2548259865496908E-2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1.1598499839982328E-2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1.1598499839982328E-2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4.6393999359929314E-2</v>
      </c>
      <c r="Z17" s="156">
        <f>Poor!Z17</f>
        <v>0.29409999999999997</v>
      </c>
      <c r="AA17" s="121">
        <f t="shared" si="16"/>
        <v>1.364447521175521E-2</v>
      </c>
      <c r="AB17" s="156">
        <f>Poor!AB17</f>
        <v>0.17649999999999999</v>
      </c>
      <c r="AC17" s="121">
        <f t="shared" si="7"/>
        <v>8.1885408870275237E-3</v>
      </c>
      <c r="AD17" s="156">
        <f>Poor!AD17</f>
        <v>0.23530000000000001</v>
      </c>
      <c r="AE17" s="121">
        <f t="shared" si="8"/>
        <v>1.0916508049391368E-2</v>
      </c>
      <c r="AF17" s="122">
        <f t="shared" si="10"/>
        <v>0.29410000000000003</v>
      </c>
      <c r="AG17" s="121">
        <f t="shared" si="11"/>
        <v>1.3644475211755212E-2</v>
      </c>
      <c r="AH17" s="123">
        <f t="shared" si="12"/>
        <v>1</v>
      </c>
      <c r="AI17" s="183">
        <f t="shared" si="13"/>
        <v>1.1598499839982328E-2</v>
      </c>
      <c r="AJ17" s="120">
        <f t="shared" si="14"/>
        <v>1.0916508049391368E-2</v>
      </c>
      <c r="AK17" s="119">
        <f t="shared" si="15"/>
        <v>1.2280491630573289E-2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215077.02882910034</v>
      </c>
      <c r="T23" s="179">
        <f>SUM(T7:T22)</f>
        <v>214804.16088522898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4.6796506520887807E-2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4.6796506520887807E-2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0.18718602608355123</v>
      </c>
      <c r="Z27" s="156">
        <f>Poor!Z27</f>
        <v>0.25</v>
      </c>
      <c r="AA27" s="121">
        <f t="shared" si="16"/>
        <v>4.6796506520887807E-2</v>
      </c>
      <c r="AB27" s="156">
        <f>Poor!AB27</f>
        <v>0.25</v>
      </c>
      <c r="AC27" s="121">
        <f t="shared" si="7"/>
        <v>4.6796506520887807E-2</v>
      </c>
      <c r="AD27" s="156">
        <f>Poor!AD27</f>
        <v>0.25</v>
      </c>
      <c r="AE27" s="121">
        <f t="shared" si="8"/>
        <v>4.6796506520887807E-2</v>
      </c>
      <c r="AF27" s="122">
        <f t="shared" si="10"/>
        <v>0.25</v>
      </c>
      <c r="AG27" s="121">
        <f t="shared" si="11"/>
        <v>4.6796506520887807E-2</v>
      </c>
      <c r="AH27" s="123">
        <f t="shared" si="12"/>
        <v>1</v>
      </c>
      <c r="AI27" s="183">
        <f t="shared" si="13"/>
        <v>4.6796506520887807E-2</v>
      </c>
      <c r="AJ27" s="120">
        <f t="shared" si="14"/>
        <v>4.6796506520887807E-2</v>
      </c>
      <c r="AK27" s="119">
        <f t="shared" si="15"/>
        <v>4.6796506520887807E-2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4.441759148285397E-3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4.441759148285397E-3</v>
      </c>
      <c r="N28" s="228"/>
      <c r="O28" s="2"/>
      <c r="P28" s="22"/>
      <c r="V28" s="56"/>
      <c r="W28" s="110"/>
      <c r="X28" s="118"/>
      <c r="Y28" s="183">
        <f t="shared" si="9"/>
        <v>1.7767036593141588E-2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8.8835182965707939E-3</v>
      </c>
      <c r="AF28" s="122">
        <f t="shared" si="10"/>
        <v>0.5</v>
      </c>
      <c r="AG28" s="121">
        <f t="shared" si="11"/>
        <v>8.8835182965707939E-3</v>
      </c>
      <c r="AH28" s="123">
        <f t="shared" si="12"/>
        <v>1</v>
      </c>
      <c r="AI28" s="183">
        <f t="shared" si="13"/>
        <v>4.441759148285397E-3</v>
      </c>
      <c r="AJ28" s="120">
        <f t="shared" si="14"/>
        <v>0</v>
      </c>
      <c r="AK28" s="119">
        <f t="shared" si="15"/>
        <v>8.8835182965707939E-3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0.22356772118149543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0.22356772118149543</v>
      </c>
      <c r="N29" s="228"/>
      <c r="P29" s="22"/>
      <c r="V29" s="56"/>
      <c r="W29" s="110"/>
      <c r="X29" s="118"/>
      <c r="Y29" s="183">
        <f t="shared" si="9"/>
        <v>0.89427088472598171</v>
      </c>
      <c r="Z29" s="156">
        <f>Poor!Z29</f>
        <v>0.25</v>
      </c>
      <c r="AA29" s="121">
        <f t="shared" si="16"/>
        <v>0.22356772118149543</v>
      </c>
      <c r="AB29" s="156">
        <f>Poor!AB29</f>
        <v>0.25</v>
      </c>
      <c r="AC29" s="121">
        <f t="shared" si="7"/>
        <v>0.22356772118149543</v>
      </c>
      <c r="AD29" s="156">
        <f>Poor!AD29</f>
        <v>0.25</v>
      </c>
      <c r="AE29" s="121">
        <f t="shared" si="8"/>
        <v>0.22356772118149543</v>
      </c>
      <c r="AF29" s="122">
        <f t="shared" si="10"/>
        <v>0.25</v>
      </c>
      <c r="AG29" s="121">
        <f t="shared" si="11"/>
        <v>0.22356772118149543</v>
      </c>
      <c r="AH29" s="123">
        <f t="shared" si="12"/>
        <v>1</v>
      </c>
      <c r="AI29" s="183">
        <f t="shared" si="13"/>
        <v>0.22356772118149543</v>
      </c>
      <c r="AJ29" s="120">
        <f t="shared" si="14"/>
        <v>0.22356772118149543</v>
      </c>
      <c r="AK29" s="119">
        <f t="shared" si="15"/>
        <v>0.22356772118149543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9.9323875798566306</v>
      </c>
      <c r="J30" s="230">
        <f>IF(I$32&lt;=1,I30,1-SUM(J6:J29))</f>
        <v>8.3915962630762841E-2</v>
      </c>
      <c r="K30" s="22">
        <f t="shared" si="4"/>
        <v>0.57612499925280203</v>
      </c>
      <c r="L30" s="22">
        <f>IF(L124=L119,0,IF(K30="",0,(L119-L124)/(B119-B124)*K30))</f>
        <v>0.33722658207421408</v>
      </c>
      <c r="M30" s="175">
        <f t="shared" si="6"/>
        <v>8.3915962630762841E-2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0.33566385052305137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-6.6150884159562667E-16</v>
      </c>
      <c r="AE30" s="187">
        <f>IF(AE79*4/$I$83+SUM(AE6:AE29)&lt;1,AE79*4/$I$83,1-SUM(AE6:AE29))</f>
        <v>-2.2204460492503131E-16</v>
      </c>
      <c r="AF30" s="122">
        <f>IF($Y30=0,0,AG30/($Y$30))</f>
        <v>0.99999999999999933</v>
      </c>
      <c r="AG30" s="187">
        <f>IF(AG79*4/$I$83+SUM(AG6:AG29)&lt;1,AG79*4/$I$83,1-SUM(AG6:AG29))</f>
        <v>0.33566385052305114</v>
      </c>
      <c r="AH30" s="123">
        <f t="shared" si="12"/>
        <v>0.99999999999999867</v>
      </c>
      <c r="AI30" s="183">
        <f t="shared" si="13"/>
        <v>8.391596263076273E-2</v>
      </c>
      <c r="AJ30" s="120">
        <f t="shared" si="14"/>
        <v>0</v>
      </c>
      <c r="AK30" s="119">
        <f t="shared" si="15"/>
        <v>0.16783192526152546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-0.30144454908977081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12.342016225089818</v>
      </c>
      <c r="J32" s="17"/>
      <c r="L32" s="22">
        <f>SUM(L6:L30)</f>
        <v>1.3014445490897708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-3.3301213538614934E-2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26432</v>
      </c>
      <c r="J37" s="38">
        <f>J91*I$83</f>
        <v>22530.254617678187</v>
      </c>
      <c r="K37" s="40">
        <f t="shared" ref="K37:K52" si="28">(B37/B$65)</f>
        <v>0.10392939729610351</v>
      </c>
      <c r="L37" s="22">
        <f t="shared" ref="L37:L52" si="29">(K37*H37)</f>
        <v>9.8109351047521706E-2</v>
      </c>
      <c r="M37" s="24">
        <f t="shared" ref="M37:M52" si="30">J37/B$65</f>
        <v>9.7564824305960293E-2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22530.254617678187</v>
      </c>
      <c r="AH37" s="123">
        <f>SUM(Z37,AB37,AD37,AF37)</f>
        <v>1</v>
      </c>
      <c r="AI37" s="112">
        <f>SUM(AA37,AC37,AE37,AG37)</f>
        <v>22530.254617678187</v>
      </c>
      <c r="AJ37" s="148">
        <f>(AA37+AC37)</f>
        <v>0</v>
      </c>
      <c r="AK37" s="147">
        <f>(AE37+AG37)</f>
        <v>22530.254617678187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7080</v>
      </c>
      <c r="J38" s="38">
        <f t="shared" ref="J38:J64" si="33">J92*I$83</f>
        <v>5616.8454816293197</v>
      </c>
      <c r="K38" s="40">
        <f t="shared" si="28"/>
        <v>2.5982349324025877E-2</v>
      </c>
      <c r="L38" s="22">
        <f t="shared" si="29"/>
        <v>2.4527337761880427E-2</v>
      </c>
      <c r="M38" s="24">
        <f t="shared" si="30"/>
        <v>2.4323140233794893E-2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5616.8454816293197</v>
      </c>
      <c r="AH38" s="123">
        <f t="shared" ref="AH38:AI58" si="35">SUM(Z38,AB38,AD38,AF38)</f>
        <v>1</v>
      </c>
      <c r="AI38" s="112">
        <f t="shared" si="35"/>
        <v>5616.8454816293197</v>
      </c>
      <c r="AJ38" s="148">
        <f t="shared" ref="AJ38:AJ64" si="36">(AA38+AC38)</f>
        <v>0</v>
      </c>
      <c r="AK38" s="147">
        <f t="shared" ref="AK38:AK64" si="37">(AE38+AG38)</f>
        <v>5616.8454816293197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0.30742408827080431</v>
      </c>
      <c r="AA39" s="147">
        <f>$J39*Z39</f>
        <v>10.157291876467374</v>
      </c>
      <c r="AB39" s="122">
        <f>AB8</f>
        <v>0.17640717415616708</v>
      </c>
      <c r="AC39" s="147">
        <f>$J39*AB39</f>
        <v>5.8284930341197603</v>
      </c>
      <c r="AD39" s="122">
        <f>AD8</f>
        <v>0.47652022470481953</v>
      </c>
      <c r="AE39" s="147">
        <f>$J39*AD39</f>
        <v>15.744228224247237</v>
      </c>
      <c r="AF39" s="122">
        <f t="shared" si="31"/>
        <v>3.964851286820914E-2</v>
      </c>
      <c r="AG39" s="147">
        <f t="shared" si="34"/>
        <v>1.3099868651656299</v>
      </c>
      <c r="AH39" s="123">
        <f t="shared" si="35"/>
        <v>1</v>
      </c>
      <c r="AI39" s="112">
        <f t="shared" si="35"/>
        <v>33.04</v>
      </c>
      <c r="AJ39" s="148">
        <f t="shared" si="36"/>
        <v>15.985784910587135</v>
      </c>
      <c r="AK39" s="147">
        <f t="shared" si="37"/>
        <v>17.054215089412867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7726.4064941136394</v>
      </c>
      <c r="K40" s="40">
        <f t="shared" si="28"/>
        <v>2.1218918614621135E-2</v>
      </c>
      <c r="L40" s="22">
        <f t="shared" si="29"/>
        <v>3.2380069805911856E-2</v>
      </c>
      <c r="M40" s="24">
        <f t="shared" si="30"/>
        <v>3.3458365424913782E-2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0.30742408827080436</v>
      </c>
      <c r="AA40" s="147">
        <f>$J40*Z40</f>
        <v>2375.2834720625074</v>
      </c>
      <c r="AB40" s="122">
        <f>AB9</f>
        <v>0.17640717415616711</v>
      </c>
      <c r="AC40" s="147">
        <f>$J40*AB40</f>
        <v>1362.9935360084453</v>
      </c>
      <c r="AD40" s="122">
        <f>AD9</f>
        <v>0.47652022470481953</v>
      </c>
      <c r="AE40" s="147">
        <f>$J40*AD40</f>
        <v>3681.7889587358081</v>
      </c>
      <c r="AF40" s="122">
        <f t="shared" si="31"/>
        <v>3.9648512868208918E-2</v>
      </c>
      <c r="AG40" s="147">
        <f t="shared" si="34"/>
        <v>306.34052730687756</v>
      </c>
      <c r="AH40" s="123">
        <f t="shared" si="35"/>
        <v>1</v>
      </c>
      <c r="AI40" s="112">
        <f t="shared" si="35"/>
        <v>7726.4064941136376</v>
      </c>
      <c r="AJ40" s="148">
        <f t="shared" si="36"/>
        <v>3738.2770080709524</v>
      </c>
      <c r="AK40" s="147">
        <f t="shared" si="37"/>
        <v>3988.1294860426856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0.30742408827080436</v>
      </c>
      <c r="AA41" s="147">
        <f>$J41*Z41</f>
        <v>0</v>
      </c>
      <c r="AB41" s="122">
        <f>AB11</f>
        <v>0.17640717415616708</v>
      </c>
      <c r="AC41" s="147">
        <f>$J41*AB41</f>
        <v>0</v>
      </c>
      <c r="AD41" s="122">
        <f>AD11</f>
        <v>0.47652022470481953</v>
      </c>
      <c r="AE41" s="147">
        <f>$J41*AD41</f>
        <v>0</v>
      </c>
      <c r="AF41" s="122">
        <f t="shared" si="31"/>
        <v>3.9648512868209029E-2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3919.9999999999995</v>
      </c>
      <c r="J42" s="38">
        <f t="shared" si="33"/>
        <v>3919.9999999999995</v>
      </c>
      <c r="K42" s="40">
        <f t="shared" si="28"/>
        <v>1.2125096351212077E-2</v>
      </c>
      <c r="L42" s="22">
        <f t="shared" si="29"/>
        <v>1.6975134891696907E-2</v>
      </c>
      <c r="M42" s="24">
        <f t="shared" si="30"/>
        <v>1.6975134891696907E-2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979.99999999999989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1959.9999999999998</v>
      </c>
      <c r="AF42" s="122">
        <f t="shared" si="31"/>
        <v>0.25</v>
      </c>
      <c r="AG42" s="147">
        <f t="shared" si="34"/>
        <v>979.99999999999989</v>
      </c>
      <c r="AH42" s="123">
        <f t="shared" si="35"/>
        <v>1</v>
      </c>
      <c r="AI42" s="112">
        <f t="shared" si="35"/>
        <v>3919.9999999999995</v>
      </c>
      <c r="AJ42" s="148">
        <f t="shared" si="36"/>
        <v>979.99999999999989</v>
      </c>
      <c r="AK42" s="147">
        <f t="shared" si="37"/>
        <v>2939.9999999999995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5207.8381162346186</v>
      </c>
      <c r="K43" s="40">
        <f t="shared" si="28"/>
        <v>1.5589409594415527E-2</v>
      </c>
      <c r="L43" s="22">
        <f t="shared" si="29"/>
        <v>2.1825173432181738E-2</v>
      </c>
      <c r="M43" s="24">
        <f t="shared" si="30"/>
        <v>2.2551978193164124E-2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1301.9595290586547</v>
      </c>
      <c r="AB43" s="156">
        <f>Poor!AB43</f>
        <v>0.25</v>
      </c>
      <c r="AC43" s="147">
        <f t="shared" si="39"/>
        <v>1301.9595290586547</v>
      </c>
      <c r="AD43" s="156">
        <f>Poor!AD43</f>
        <v>0.25</v>
      </c>
      <c r="AE43" s="147">
        <f t="shared" si="40"/>
        <v>1301.9595290586547</v>
      </c>
      <c r="AF43" s="122">
        <f t="shared" si="31"/>
        <v>0.25</v>
      </c>
      <c r="AG43" s="147">
        <f t="shared" si="34"/>
        <v>1301.9595290586547</v>
      </c>
      <c r="AH43" s="123">
        <f t="shared" si="35"/>
        <v>1</v>
      </c>
      <c r="AI43" s="112">
        <f t="shared" si="35"/>
        <v>5207.8381162346186</v>
      </c>
      <c r="AJ43" s="148">
        <f t="shared" si="36"/>
        <v>2603.9190581173093</v>
      </c>
      <c r="AK43" s="147">
        <f t="shared" si="37"/>
        <v>2603.9190581173093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5641.8246259208372</v>
      </c>
      <c r="K44" s="40">
        <f t="shared" si="28"/>
        <v>1.6888527060616821E-2</v>
      </c>
      <c r="L44" s="22">
        <f t="shared" si="29"/>
        <v>2.3643937884863547E-2</v>
      </c>
      <c r="M44" s="24">
        <f t="shared" si="30"/>
        <v>2.4431309709261138E-2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1410.4561564802093</v>
      </c>
      <c r="AB44" s="156">
        <f>Poor!AB44</f>
        <v>0.25</v>
      </c>
      <c r="AC44" s="147">
        <f t="shared" si="39"/>
        <v>1410.4561564802093</v>
      </c>
      <c r="AD44" s="156">
        <f>Poor!AD44</f>
        <v>0.25</v>
      </c>
      <c r="AE44" s="147">
        <f t="shared" si="40"/>
        <v>1410.4561564802093</v>
      </c>
      <c r="AF44" s="122">
        <f t="shared" si="31"/>
        <v>0.25</v>
      </c>
      <c r="AG44" s="147">
        <f t="shared" si="34"/>
        <v>1410.4561564802093</v>
      </c>
      <c r="AH44" s="123">
        <f t="shared" si="35"/>
        <v>1</v>
      </c>
      <c r="AI44" s="112">
        <f t="shared" si="35"/>
        <v>5641.8246259208372</v>
      </c>
      <c r="AJ44" s="148">
        <f t="shared" si="36"/>
        <v>2820.9123129604186</v>
      </c>
      <c r="AK44" s="147">
        <f t="shared" si="37"/>
        <v>2820.9123129604186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6075.8111356070549</v>
      </c>
      <c r="K46" s="40">
        <f t="shared" si="28"/>
        <v>1.8187644526818116E-2</v>
      </c>
      <c r="L46" s="22">
        <f t="shared" si="29"/>
        <v>2.546270233754536E-2</v>
      </c>
      <c r="M46" s="24">
        <f t="shared" si="30"/>
        <v>2.6310641225358145E-2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1518.9527839017637</v>
      </c>
      <c r="AB46" s="156">
        <f>Poor!AB46</f>
        <v>0.25</v>
      </c>
      <c r="AC46" s="147">
        <f t="shared" si="39"/>
        <v>1518.9527839017637</v>
      </c>
      <c r="AD46" s="156">
        <f>Poor!AD46</f>
        <v>0.25</v>
      </c>
      <c r="AE46" s="147">
        <f t="shared" si="40"/>
        <v>1518.9527839017637</v>
      </c>
      <c r="AF46" s="122">
        <f t="shared" si="31"/>
        <v>0.25</v>
      </c>
      <c r="AG46" s="147">
        <f t="shared" si="34"/>
        <v>1518.9527839017637</v>
      </c>
      <c r="AH46" s="123">
        <f t="shared" si="35"/>
        <v>1</v>
      </c>
      <c r="AI46" s="112">
        <f t="shared" si="35"/>
        <v>6075.8111356070549</v>
      </c>
      <c r="AJ46" s="148">
        <f t="shared" si="36"/>
        <v>3037.9055678035274</v>
      </c>
      <c r="AK46" s="147">
        <f t="shared" si="37"/>
        <v>3037.9055678035274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867.9730193724364</v>
      </c>
      <c r="K47" s="40">
        <f t="shared" si="28"/>
        <v>2.5982349324025879E-3</v>
      </c>
      <c r="L47" s="22">
        <f t="shared" si="29"/>
        <v>3.6375289053636227E-3</v>
      </c>
      <c r="M47" s="24">
        <f t="shared" si="30"/>
        <v>3.7586630321940206E-3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216.9932548431091</v>
      </c>
      <c r="AB47" s="156">
        <f>Poor!AB47</f>
        <v>0.25</v>
      </c>
      <c r="AC47" s="147">
        <f t="shared" si="39"/>
        <v>216.9932548431091</v>
      </c>
      <c r="AD47" s="156">
        <f>Poor!AD47</f>
        <v>0.25</v>
      </c>
      <c r="AE47" s="147">
        <f t="shared" si="40"/>
        <v>216.9932548431091</v>
      </c>
      <c r="AF47" s="122">
        <f t="shared" si="31"/>
        <v>0.25</v>
      </c>
      <c r="AG47" s="147">
        <f t="shared" si="34"/>
        <v>216.9932548431091</v>
      </c>
      <c r="AH47" s="123">
        <f t="shared" si="35"/>
        <v>1</v>
      </c>
      <c r="AI47" s="112">
        <f t="shared" si="35"/>
        <v>867.9730193724364</v>
      </c>
      <c r="AJ47" s="148">
        <f t="shared" si="36"/>
        <v>433.9865096862182</v>
      </c>
      <c r="AK47" s="147">
        <f t="shared" si="37"/>
        <v>433.9865096862182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4233.5999999999995</v>
      </c>
      <c r="J48" s="38">
        <f t="shared" si="33"/>
        <v>4233.5999999999995</v>
      </c>
      <c r="K48" s="40">
        <f t="shared" si="28"/>
        <v>1.3095104059309044E-2</v>
      </c>
      <c r="L48" s="22">
        <f t="shared" si="29"/>
        <v>1.833314568303266E-2</v>
      </c>
      <c r="M48" s="24">
        <f t="shared" si="30"/>
        <v>1.8333145683032657E-2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1058.3999999999999</v>
      </c>
      <c r="AB48" s="156">
        <f>Poor!AB48</f>
        <v>0.25</v>
      </c>
      <c r="AC48" s="147">
        <f t="shared" si="39"/>
        <v>1058.3999999999999</v>
      </c>
      <c r="AD48" s="156">
        <f>Poor!AD48</f>
        <v>0.25</v>
      </c>
      <c r="AE48" s="147">
        <f t="shared" si="40"/>
        <v>1058.3999999999999</v>
      </c>
      <c r="AF48" s="122">
        <f t="shared" si="31"/>
        <v>0.25</v>
      </c>
      <c r="AG48" s="147">
        <f t="shared" si="34"/>
        <v>1058.3999999999999</v>
      </c>
      <c r="AH48" s="123">
        <f t="shared" si="35"/>
        <v>1</v>
      </c>
      <c r="AI48" s="112">
        <f t="shared" si="35"/>
        <v>4233.5999999999995</v>
      </c>
      <c r="AJ48" s="148">
        <f t="shared" si="36"/>
        <v>2116.7999999999997</v>
      </c>
      <c r="AK48" s="147">
        <f t="shared" si="37"/>
        <v>2116.7999999999997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2595.6</v>
      </c>
      <c r="J49" s="38">
        <f t="shared" si="33"/>
        <v>2595.6</v>
      </c>
      <c r="K49" s="40">
        <f t="shared" si="28"/>
        <v>8.0285459411239962E-3</v>
      </c>
      <c r="L49" s="22">
        <f t="shared" si="29"/>
        <v>1.1239964317573594E-2</v>
      </c>
      <c r="M49" s="24">
        <f t="shared" si="30"/>
        <v>1.1239964317573594E-2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648.9</v>
      </c>
      <c r="AB49" s="156">
        <f>Poor!AB49</f>
        <v>0.25</v>
      </c>
      <c r="AC49" s="147">
        <f t="shared" si="39"/>
        <v>648.9</v>
      </c>
      <c r="AD49" s="156">
        <f>Poor!AD49</f>
        <v>0.25</v>
      </c>
      <c r="AE49" s="147">
        <f t="shared" si="40"/>
        <v>648.9</v>
      </c>
      <c r="AF49" s="122">
        <f t="shared" si="31"/>
        <v>0.25</v>
      </c>
      <c r="AG49" s="147">
        <f t="shared" si="34"/>
        <v>648.9</v>
      </c>
      <c r="AH49" s="123">
        <f t="shared" si="35"/>
        <v>1</v>
      </c>
      <c r="AI49" s="112">
        <f t="shared" si="35"/>
        <v>2595.6</v>
      </c>
      <c r="AJ49" s="148">
        <f t="shared" si="36"/>
        <v>1297.8</v>
      </c>
      <c r="AK49" s="147">
        <f t="shared" si="37"/>
        <v>1297.8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672</v>
      </c>
      <c r="J51" s="38">
        <f t="shared" si="33"/>
        <v>672</v>
      </c>
      <c r="K51" s="40">
        <f t="shared" si="28"/>
        <v>2.0785879459220701E-3</v>
      </c>
      <c r="L51" s="22">
        <f t="shared" si="29"/>
        <v>2.9100231242908977E-3</v>
      </c>
      <c r="M51" s="24">
        <f t="shared" si="30"/>
        <v>2.9100231242908982E-3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168</v>
      </c>
      <c r="AB51" s="156">
        <f>Poor!AB56</f>
        <v>0.25</v>
      </c>
      <c r="AC51" s="147">
        <f t="shared" si="39"/>
        <v>168</v>
      </c>
      <c r="AD51" s="156">
        <f>Poor!AD56</f>
        <v>0.25</v>
      </c>
      <c r="AE51" s="147">
        <f t="shared" si="40"/>
        <v>168</v>
      </c>
      <c r="AF51" s="122">
        <f t="shared" si="31"/>
        <v>0.25</v>
      </c>
      <c r="AG51" s="147">
        <f t="shared" si="34"/>
        <v>168</v>
      </c>
      <c r="AH51" s="123">
        <f t="shared" si="35"/>
        <v>1</v>
      </c>
      <c r="AI51" s="112">
        <f t="shared" si="35"/>
        <v>672</v>
      </c>
      <c r="AJ51" s="148">
        <f t="shared" si="36"/>
        <v>336</v>
      </c>
      <c r="AK51" s="147">
        <f t="shared" si="37"/>
        <v>336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16940</v>
      </c>
      <c r="J52" s="38">
        <f t="shared" si="33"/>
        <v>16940</v>
      </c>
      <c r="K52" s="40">
        <f t="shared" si="28"/>
        <v>5.2397737803452187E-2</v>
      </c>
      <c r="L52" s="22">
        <f t="shared" si="29"/>
        <v>7.3356832924833054E-2</v>
      </c>
      <c r="M52" s="24">
        <f t="shared" si="30"/>
        <v>7.3356832924833068E-2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4235</v>
      </c>
      <c r="AB52" s="156">
        <f>Poor!AB57</f>
        <v>0.25</v>
      </c>
      <c r="AC52" s="147">
        <f t="shared" si="39"/>
        <v>4235</v>
      </c>
      <c r="AD52" s="156">
        <f>Poor!AD57</f>
        <v>0.25</v>
      </c>
      <c r="AE52" s="147">
        <f t="shared" si="40"/>
        <v>4235</v>
      </c>
      <c r="AF52" s="122">
        <f t="shared" si="31"/>
        <v>0.25</v>
      </c>
      <c r="AG52" s="147">
        <f t="shared" si="34"/>
        <v>4235</v>
      </c>
      <c r="AH52" s="123">
        <f t="shared" si="35"/>
        <v>1</v>
      </c>
      <c r="AI52" s="112">
        <f t="shared" si="35"/>
        <v>16940</v>
      </c>
      <c r="AJ52" s="148">
        <f t="shared" si="36"/>
        <v>8470</v>
      </c>
      <c r="AK52" s="147">
        <f t="shared" si="37"/>
        <v>8470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124608</v>
      </c>
      <c r="J57" s="38">
        <f t="shared" si="33"/>
        <v>124608</v>
      </c>
      <c r="K57" s="40">
        <f t="shared" si="43"/>
        <v>0.5716116851285693</v>
      </c>
      <c r="L57" s="22">
        <f t="shared" si="44"/>
        <v>0.53960143076136935</v>
      </c>
      <c r="M57" s="24">
        <f t="shared" si="45"/>
        <v>0.53960143076136946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0</v>
      </c>
      <c r="F60" s="75">
        <f>Middle!F60</f>
        <v>1.18</v>
      </c>
      <c r="G60" s="22">
        <f t="shared" si="32"/>
        <v>1.65</v>
      </c>
      <c r="H60" s="24">
        <f t="shared" si="41"/>
        <v>0</v>
      </c>
      <c r="I60" s="39">
        <f t="shared" si="42"/>
        <v>0</v>
      </c>
      <c r="J60" s="38">
        <f t="shared" si="33"/>
        <v>0</v>
      </c>
      <c r="K60" s="40">
        <f t="shared" si="43"/>
        <v>3.2218113161792086E-2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209170.24</v>
      </c>
      <c r="J65" s="39">
        <f>SUM(J37:J64)</f>
        <v>229325.19349055609</v>
      </c>
      <c r="K65" s="40">
        <f>SUM(K37:K64)</f>
        <v>1</v>
      </c>
      <c r="L65" s="22">
        <f>SUM(L37:L64)</f>
        <v>0.99025506006253072</v>
      </c>
      <c r="M65" s="24">
        <f>SUM(M37:M64)</f>
        <v>0.99306788101190901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19588.10248822271</v>
      </c>
      <c r="AB65" s="137"/>
      <c r="AC65" s="153">
        <f>SUM(AC37:AC64)</f>
        <v>17591.483753326302</v>
      </c>
      <c r="AD65" s="137"/>
      <c r="AE65" s="153">
        <f>SUM(AE37:AE64)</f>
        <v>21880.194911243791</v>
      </c>
      <c r="AF65" s="137"/>
      <c r="AG65" s="153">
        <f>SUM(AG37:AG64)</f>
        <v>45657.412337763293</v>
      </c>
      <c r="AH65" s="137"/>
      <c r="AI65" s="153">
        <f>SUM(AI37:AI64)</f>
        <v>104717.19349055609</v>
      </c>
      <c r="AJ65" s="153">
        <f>SUM(AJ37:AJ64)</f>
        <v>37179.586241549012</v>
      </c>
      <c r="AK65" s="153">
        <f>SUM(AK37:AK64)</f>
        <v>67537.60724900708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190964.35386315524</v>
      </c>
      <c r="J74" s="51">
        <f>J128*I$83</f>
        <v>1613.404375709996</v>
      </c>
      <c r="K74" s="40">
        <f>B74/B$76</f>
        <v>2.9070907747959899E-2</v>
      </c>
      <c r="L74" s="22">
        <f>(L128*G$37*F$9/F$7)/B$130</f>
        <v>2.8076800583352192E-2</v>
      </c>
      <c r="M74" s="24">
        <f>J74/B$76</f>
        <v>6.9866726817681682E-3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-1.0672812596012348E-12</v>
      </c>
      <c r="AF74" s="156"/>
      <c r="AG74" s="147">
        <f>AG30*$I$83/4</f>
        <v>1613.4043757099951</v>
      </c>
      <c r="AH74" s="155"/>
      <c r="AI74" s="147">
        <f>SUM(AA74,AC74,AE74,AG74)</f>
        <v>1613.4043757099939</v>
      </c>
      <c r="AJ74" s="148">
        <f>(AA74+AC74)</f>
        <v>0</v>
      </c>
      <c r="AK74" s="147">
        <f>(AE74+AG74)</f>
        <v>1613.4043757099939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115887.06297800128</v>
      </c>
      <c r="K75" s="40">
        <f>B75/B$76</f>
        <v>0.57105119031176255</v>
      </c>
      <c r="L75" s="22">
        <f>(L129*G$37*F$9/F$7)/B$130</f>
        <v>0.47793340988734057</v>
      </c>
      <c r="M75" s="24">
        <f>J75/B$76</f>
        <v>0.50183635873830268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15036.630954011514</v>
      </c>
      <c r="AB75" s="158"/>
      <c r="AC75" s="149">
        <f>AA75+AC65-SUM(AC70,AC74)</f>
        <v>28076.64317312662</v>
      </c>
      <c r="AD75" s="158"/>
      <c r="AE75" s="149">
        <f>AC75+AE65-SUM(AE70,AE74)</f>
        <v>45405.366550159211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84897.902978001308</v>
      </c>
      <c r="AJ75" s="151">
        <f>AJ76-SUM(AJ70,AJ74)</f>
        <v>28076.64317312662</v>
      </c>
      <c r="AK75" s="149">
        <f>AJ75+AK76-SUM(AK70,AK74)</f>
        <v>84897.902978001308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209170.24</v>
      </c>
      <c r="J76" s="51">
        <f>J130*I$83</f>
        <v>229325.19349055606</v>
      </c>
      <c r="K76" s="40">
        <f>SUM(K70:K75)</f>
        <v>0.79674008123814566</v>
      </c>
      <c r="L76" s="22">
        <f>SUM(L70:L75)</f>
        <v>0.7504083559235426</v>
      </c>
      <c r="M76" s="24">
        <f>SUM(M70:M75)</f>
        <v>0.75322117687292067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19588.10248822271</v>
      </c>
      <c r="AB76" s="137"/>
      <c r="AC76" s="153">
        <f>AC65</f>
        <v>17591.483753326302</v>
      </c>
      <c r="AD76" s="137"/>
      <c r="AE76" s="153">
        <f>AE65</f>
        <v>21880.194911243791</v>
      </c>
      <c r="AF76" s="137"/>
      <c r="AG76" s="153">
        <f>AG65</f>
        <v>45657.412337763293</v>
      </c>
      <c r="AH76" s="137"/>
      <c r="AI76" s="153">
        <f>SUM(AA76,AC76,AE76,AG76)</f>
        <v>104717.19349055609</v>
      </c>
      <c r="AJ76" s="154">
        <f>SUM(AA76,AC76)</f>
        <v>37179.586241549012</v>
      </c>
      <c r="AK76" s="154">
        <f>SUM(AE76,AG76)</f>
        <v>67537.60724900708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15036.630954011514</v>
      </c>
      <c r="AD78" s="112"/>
      <c r="AE78" s="112">
        <f>AC75</f>
        <v>28076.64317312662</v>
      </c>
      <c r="AF78" s="112"/>
      <c r="AG78" s="112">
        <f>AE75</f>
        <v>45405.366550159211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15036.630954011514</v>
      </c>
      <c r="AB79" s="112"/>
      <c r="AC79" s="112">
        <f>AA79-AA74+AC65-AC70</f>
        <v>28076.64317312662</v>
      </c>
      <c r="AD79" s="112"/>
      <c r="AE79" s="112">
        <f>AC79-AC74+AE65-AE70</f>
        <v>45405.366550159211</v>
      </c>
      <c r="AF79" s="112"/>
      <c r="AG79" s="112">
        <f>AE79-AE74+AG65-AG70</f>
        <v>86511.307353711294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0.57212121212121214</v>
      </c>
      <c r="I91" s="22">
        <f t="shared" ref="I91" si="52">(D91*H91)</f>
        <v>1.3747742089023645</v>
      </c>
      <c r="J91" s="24">
        <f>IF(I$32&lt;=1+I$131,I91,L91+J$33*(I91-L91))</f>
        <v>1.1718376577023071</v>
      </c>
      <c r="K91" s="22">
        <f t="shared" ref="K91" si="53">(B91)</f>
        <v>2.0596647500201888</v>
      </c>
      <c r="L91" s="22">
        <f t="shared" ref="L91" si="54">(K91*H91)</f>
        <v>1.1783778933448839</v>
      </c>
      <c r="M91" s="226">
        <f t="shared" si="50"/>
        <v>1.1718376577023071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0.57212121212121214</v>
      </c>
      <c r="I92" s="22">
        <f t="shared" ref="I92:I118" si="59">(D92*H92)</f>
        <v>0.36824309167027625</v>
      </c>
      <c r="J92" s="24">
        <f t="shared" ref="J92:J118" si="60">IF(I$32&lt;=1+I$131,I92,L92+J$33*(I92-L92))</f>
        <v>0.29214188497025462</v>
      </c>
      <c r="K92" s="22">
        <f t="shared" ref="K92:K118" si="61">(B92)</f>
        <v>0.5149161875050472</v>
      </c>
      <c r="L92" s="22">
        <f t="shared" ref="L92:L118" si="62">(K92*H92)</f>
        <v>0.29459447333622096</v>
      </c>
      <c r="M92" s="226">
        <f t="shared" ref="M92:M118" si="63">(J92)</f>
        <v>0.29214188497025462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0.40186381566295293</v>
      </c>
      <c r="K94" s="22">
        <f t="shared" si="61"/>
        <v>0.42051488646245527</v>
      </c>
      <c r="L94" s="22">
        <f t="shared" si="62"/>
        <v>0.38891255560103444</v>
      </c>
      <c r="M94" s="226">
        <f t="shared" si="63"/>
        <v>0.40186381566295293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0.84848484848484851</v>
      </c>
      <c r="I96" s="22">
        <f t="shared" si="59"/>
        <v>0.20388600555755407</v>
      </c>
      <c r="J96" s="24">
        <f t="shared" si="60"/>
        <v>0.20388600555755407</v>
      </c>
      <c r="K96" s="22">
        <f t="shared" si="61"/>
        <v>0.24029422083568872</v>
      </c>
      <c r="L96" s="22">
        <f t="shared" si="62"/>
        <v>0.20388600555755407</v>
      </c>
      <c r="M96" s="226">
        <f t="shared" si="63"/>
        <v>0.20388600555755407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0.27086870181363609</v>
      </c>
      <c r="K97" s="22">
        <f t="shared" si="61"/>
        <v>0.30894971250302833</v>
      </c>
      <c r="L97" s="22">
        <f t="shared" si="62"/>
        <v>0.26213915000256949</v>
      </c>
      <c r="M97" s="226">
        <f t="shared" si="63"/>
        <v>0.27086870181363609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0.29344109363143911</v>
      </c>
      <c r="K98" s="22">
        <f t="shared" si="61"/>
        <v>0.33469552187828072</v>
      </c>
      <c r="L98" s="22">
        <f t="shared" si="62"/>
        <v>0.28398407916945034</v>
      </c>
      <c r="M98" s="226">
        <f t="shared" si="63"/>
        <v>0.29344109363143911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0.31601348544924207</v>
      </c>
      <c r="K100" s="22">
        <f t="shared" si="61"/>
        <v>0.36044133125353306</v>
      </c>
      <c r="L100" s="22">
        <f t="shared" si="62"/>
        <v>0.30582900833633109</v>
      </c>
      <c r="M100" s="226">
        <f t="shared" si="63"/>
        <v>0.31601348544924207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4.5144783635606013E-2</v>
      </c>
      <c r="K101" s="22">
        <f t="shared" si="61"/>
        <v>5.1491618750504724E-2</v>
      </c>
      <c r="L101" s="22">
        <f t="shared" si="62"/>
        <v>4.3689858333761586E-2</v>
      </c>
      <c r="M101" s="226">
        <f t="shared" si="63"/>
        <v>4.5144783635606013E-2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0.84848484848484851</v>
      </c>
      <c r="I102" s="22">
        <f t="shared" si="59"/>
        <v>0.22019688600215839</v>
      </c>
      <c r="J102" s="24">
        <f t="shared" si="60"/>
        <v>0.22019688600215839</v>
      </c>
      <c r="K102" s="22">
        <f t="shared" si="61"/>
        <v>0.25951775850254383</v>
      </c>
      <c r="L102" s="22">
        <f t="shared" si="62"/>
        <v>0.22019688600215839</v>
      </c>
      <c r="M102" s="226">
        <f t="shared" si="63"/>
        <v>0.22019688600215839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0.84848484848484851</v>
      </c>
      <c r="I103" s="22">
        <f t="shared" si="59"/>
        <v>0.13500166225132332</v>
      </c>
      <c r="J103" s="24">
        <f t="shared" si="60"/>
        <v>0.13500166225132332</v>
      </c>
      <c r="K103" s="22">
        <f t="shared" si="61"/>
        <v>0.15910910193905961</v>
      </c>
      <c r="L103" s="22">
        <f t="shared" si="62"/>
        <v>0.13500166225132332</v>
      </c>
      <c r="M103" s="226">
        <f t="shared" si="63"/>
        <v>0.13500166225132332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0.84848484848484851</v>
      </c>
      <c r="I105" s="22">
        <f t="shared" si="59"/>
        <v>3.4951886667009269E-2</v>
      </c>
      <c r="J105" s="24">
        <f t="shared" si="60"/>
        <v>3.4951886667009269E-2</v>
      </c>
      <c r="K105" s="22">
        <f t="shared" si="61"/>
        <v>4.1193295000403779E-2</v>
      </c>
      <c r="L105" s="22">
        <f t="shared" si="62"/>
        <v>3.4951886667009269E-2</v>
      </c>
      <c r="M105" s="226">
        <f t="shared" si="63"/>
        <v>3.4951886667009269E-2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0.84848484848484851</v>
      </c>
      <c r="I106" s="22">
        <f t="shared" si="59"/>
        <v>0.88107880973085873</v>
      </c>
      <c r="J106" s="24">
        <f t="shared" si="60"/>
        <v>0.88107880973085873</v>
      </c>
      <c r="K106" s="22">
        <f t="shared" si="61"/>
        <v>1.038414311468512</v>
      </c>
      <c r="L106" s="22">
        <f t="shared" si="62"/>
        <v>0.88107880973085873</v>
      </c>
      <c r="M106" s="226">
        <f t="shared" si="63"/>
        <v>0.88107880973085873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0.57212121212121214</v>
      </c>
      <c r="I111" s="22">
        <f t="shared" si="59"/>
        <v>6.4810784133968617</v>
      </c>
      <c r="J111" s="24">
        <f t="shared" si="60"/>
        <v>6.4810784133968617</v>
      </c>
      <c r="K111" s="22">
        <f t="shared" si="61"/>
        <v>11.32815612511104</v>
      </c>
      <c r="L111" s="22">
        <f t="shared" si="62"/>
        <v>6.4810784133968617</v>
      </c>
      <c r="M111" s="226">
        <f t="shared" si="63"/>
        <v>6.4810784133968617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</v>
      </c>
      <c r="I114" s="22">
        <f t="shared" si="59"/>
        <v>0</v>
      </c>
      <c r="J114" s="24">
        <f t="shared" si="60"/>
        <v>0</v>
      </c>
      <c r="K114" s="22">
        <f t="shared" si="61"/>
        <v>0.63849607250625862</v>
      </c>
      <c r="L114" s="22">
        <f t="shared" si="62"/>
        <v>0</v>
      </c>
      <c r="M114" s="226">
        <f t="shared" si="6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10.879307325284419</v>
      </c>
      <c r="J119" s="24">
        <f>SUM(J91:J118)</f>
        <v>11.927601447577214</v>
      </c>
      <c r="K119" s="22">
        <f>SUM(K91:K118)</f>
        <v>19.817922585965089</v>
      </c>
      <c r="L119" s="22">
        <f>SUM(L91:L118)</f>
        <v>11.893817042836028</v>
      </c>
      <c r="M119" s="57">
        <f t="shared" si="50"/>
        <v>11.927601447577214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9.9323875798566306</v>
      </c>
      <c r="J128" s="227">
        <f>(J30)</f>
        <v>8.3915962630762841E-2</v>
      </c>
      <c r="K128" s="22">
        <f>(B128)</f>
        <v>0.57612499925280203</v>
      </c>
      <c r="L128" s="22">
        <f>IF(L124=L119,0,(L119-L124)/(B119-B124)*K128)</f>
        <v>0.33722658207421408</v>
      </c>
      <c r="M128" s="57">
        <f t="shared" si="90"/>
        <v>8.3915962630762841E-2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6.0274873383625991</v>
      </c>
      <c r="K129" s="29">
        <f>(B129)</f>
        <v>11.317048282221727</v>
      </c>
      <c r="L129" s="60">
        <f>IF(SUM(L124:L128)&gt;L130,0,L130-SUM(L124:L128))</f>
        <v>5.7403923141779627</v>
      </c>
      <c r="M129" s="57">
        <f t="shared" si="90"/>
        <v>6.0274873383625991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10.879307325284419</v>
      </c>
      <c r="J130" s="227">
        <f>(J119)</f>
        <v>11.927601447577214</v>
      </c>
      <c r="K130" s="22">
        <f>(B130)</f>
        <v>19.817922585965089</v>
      </c>
      <c r="L130" s="22">
        <f>(L119)</f>
        <v>11.893817042836028</v>
      </c>
      <c r="M130" s="57">
        <f t="shared" si="90"/>
        <v>11.927601447577214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5519.7390389107231</v>
      </c>
      <c r="G72" s="109">
        <f>Poor!T7</f>
        <v>9497.3873268191601</v>
      </c>
      <c r="H72" s="109">
        <f>Middle!T7</f>
        <v>5393.581927001047</v>
      </c>
      <c r="I72" s="109">
        <f>Rich!T7</f>
        <v>8220.5349417297493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384</v>
      </c>
      <c r="G73" s="109">
        <f>Poor!T8</f>
        <v>314.99999999999994</v>
      </c>
      <c r="H73" s="109">
        <f>Middle!T8</f>
        <v>10234.477927302136</v>
      </c>
      <c r="I73" s="109">
        <f>Rich!T8</f>
        <v>47894.26968110985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57.681000028634685</v>
      </c>
      <c r="G74" s="109">
        <f>Poor!T9</f>
        <v>464.2278771393137</v>
      </c>
      <c r="H74" s="109">
        <f>Middle!T9</f>
        <v>1456.9834208780651</v>
      </c>
      <c r="I74" s="109">
        <f>Rich!T9</f>
        <v>1382.6476074734351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4015.5399999999995</v>
      </c>
      <c r="H76" s="109">
        <f>Middle!T11</f>
        <v>25403.478578725444</v>
      </c>
      <c r="I76" s="109">
        <f>Rich!T11</f>
        <v>25049.013421606673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1572.6003046153814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19053.942857142862</v>
      </c>
      <c r="G78" s="109">
        <f>Poor!T13</f>
        <v>3496.5000000000005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110043.42857142859</v>
      </c>
      <c r="I79" s="109">
        <f>Rich!T14</f>
        <v>110762.66666666667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5929.6496162240701</v>
      </c>
      <c r="G81" s="109">
        <f>Poor!T16</f>
        <v>2534.3999999999996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35112.518931166094</v>
      </c>
      <c r="G88" s="109">
        <f>Poor!T23</f>
        <v>29526.233766413305</v>
      </c>
      <c r="H88" s="109">
        <f>Middle!T23</f>
        <v>154275.84429673289</v>
      </c>
      <c r="I88" s="109">
        <f>Rich!T23</f>
        <v>214804.16088522898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10816.399179608467</v>
      </c>
      <c r="G99" s="238">
        <f t="shared" si="0"/>
        <v>16402.684344361256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43554.319179608457</v>
      </c>
      <c r="G100" s="238">
        <f t="shared" si="0"/>
        <v>49140.604344361243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2016-06-02T08:49:07Z</dcterms:modified>
  <cp:category/>
</cp:coreProperties>
</file>