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<sst xmlns="http://schemas.openxmlformats.org/spreadsheetml/2006/main" count="790" uniqueCount="145">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</sst>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645160"/>
        <c:axId val="1831495624"/>
      </c:barChart>
      <c:catAx>
        <c:axId val="183164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495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495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64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0.071872880809313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0.0118689160969508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0.0164846056902094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0.0082423028451047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957800"/>
        <c:axId val="-1990967464"/>
      </c:barChart>
      <c:catAx>
        <c:axId val="-199095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6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096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5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0.081188318873605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0.041563323860178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0.0562572220599776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0.038709097747691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0.026881317880341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0.0134406589401705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118216"/>
        <c:axId val="-1991122344"/>
      </c:barChart>
      <c:catAx>
        <c:axId val="-199111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2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12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1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427432"/>
        <c:axId val="1831295752"/>
      </c:barChart>
      <c:catAx>
        <c:axId val="177042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29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29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2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7979.812669369104</c:v>
                </c:pt>
                <c:pt idx="7">
                  <c:v>6781.827288101752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44349.69764114066</c:v>
                </c:pt>
                <c:pt idx="7">
                  <c:v>63689.85221928256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19221.74771953099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923784"/>
        <c:axId val="-19960459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23784"/>
        <c:axId val="-1996045992"/>
      </c:lineChart>
      <c:catAx>
        <c:axId val="-19959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04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4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92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932344"/>
        <c:axId val="-2015938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32344"/>
        <c:axId val="-2015938328"/>
      </c:lineChart>
      <c:catAx>
        <c:axId val="-201593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3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93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3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190744"/>
        <c:axId val="17705693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190744"/>
        <c:axId val="1770569384"/>
      </c:lineChart>
      <c:catAx>
        <c:axId val="-1991190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56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56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19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0.399804275232276</c:v>
                </c:pt>
                <c:pt idx="2">
                  <c:v>0.281692464959905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-0.688413588797887</c:v>
                </c:pt>
                <c:pt idx="2">
                  <c:v>-0.688413588797887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019784"/>
        <c:axId val="1771012616"/>
      </c:barChart>
      <c:catAx>
        <c:axId val="177101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01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01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01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0.366511468477917</c:v>
                </c:pt>
                <c:pt idx="2">
                  <c:v>0.40044288512746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872680"/>
        <c:axId val="-1995626088"/>
      </c:barChart>
      <c:catAx>
        <c:axId val="18308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62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62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87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0.318181328468142</c:v>
                </c:pt>
                <c:pt idx="2">
                  <c:v>0.359191319407834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930664"/>
        <c:axId val="1831273640"/>
      </c:barChart>
      <c:catAx>
        <c:axId val="183093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27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27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9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0.350397997496871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521528"/>
        <c:axId val="-1995518168"/>
      </c:barChart>
      <c:catAx>
        <c:axId val="-19955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1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51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5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0.154787526349101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0.00510634254524808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0.0358933407707652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0.00391290088067042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0.204912662432609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0.405039831138955</c:v>
                </c:pt>
                <c:pt idx="2" formatCode="0.0%">
                  <c:v>0.280669940325552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168088"/>
        <c:axId val="-2087163752"/>
      </c:barChart>
      <c:catAx>
        <c:axId val="-20871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6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716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71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64984"/>
        <c:axId val="17708584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64984"/>
        <c:axId val="17708584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64984"/>
        <c:axId val="1770858472"/>
      </c:scatterChart>
      <c:catAx>
        <c:axId val="1770864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58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858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64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5873208"/>
        <c:axId val="-19958742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873208"/>
        <c:axId val="-1995874216"/>
      </c:lineChart>
      <c:catAx>
        <c:axId val="-1995873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874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5874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58732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179992"/>
        <c:axId val="-19961767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173112"/>
        <c:axId val="-1996189976"/>
      </c:scatterChart>
      <c:valAx>
        <c:axId val="-19961799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6712"/>
        <c:crosses val="autoZero"/>
        <c:crossBetween val="midCat"/>
      </c:valAx>
      <c:valAx>
        <c:axId val="-1996176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9992"/>
        <c:crosses val="autoZero"/>
        <c:crossBetween val="midCat"/>
      </c:valAx>
      <c:valAx>
        <c:axId val="-1996173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6189976"/>
        <c:crosses val="autoZero"/>
        <c:crossBetween val="midCat"/>
      </c:valAx>
      <c:valAx>
        <c:axId val="-1996189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173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311016"/>
        <c:axId val="-19963181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311016"/>
        <c:axId val="-1996318152"/>
      </c:lineChart>
      <c:catAx>
        <c:axId val="-19963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8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318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3110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0.106456684509327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0.0084076767158416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0.0365909924771831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0.00488836016373938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0.22409243647936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0.476855987254239</c:v>
                </c:pt>
                <c:pt idx="2" formatCode="0.0%">
                  <c:v>0.304846562958495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9816152"/>
        <c:axId val="1769861352"/>
      </c:barChart>
      <c:catAx>
        <c:axId val="176981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86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86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81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796664"/>
        <c:axId val="1831794312"/>
      </c:barChart>
      <c:catAx>
        <c:axId val="18317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7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79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0.122513498605869</c:v>
                </c:pt>
                <c:pt idx="3">
                  <c:v>-0.122513498605869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734168"/>
        <c:axId val="-1990738008"/>
      </c:barChart>
      <c:catAx>
        <c:axId val="-1990734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738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073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73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623064"/>
        <c:axId val="1831612088"/>
      </c:barChart>
      <c:catAx>
        <c:axId val="1831623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1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161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62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0.0228033970881115</c:v>
                </c:pt>
                <c:pt idx="1">
                  <c:v>0.0238632695785551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0.0553796786425566</c:v>
                </c:pt>
                <c:pt idx="1">
                  <c:v>0.0579536546907768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0.302544122367863</c:v>
                </c:pt>
                <c:pt idx="1">
                  <c:v>0.316605983028539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0.0959658309101681</c:v>
                </c:pt>
                <c:pt idx="1">
                  <c:v>0.100426198977752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0.0136849980212648</c:v>
                </c:pt>
                <c:pt idx="3">
                  <c:v>0.00674037215972746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0.143573363083061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0.0156516035226817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0.204912662432609</c:v>
                </c:pt>
                <c:pt idx="1">
                  <c:v>0.204912662432609</c:v>
                </c:pt>
                <c:pt idx="2">
                  <c:v>0.204912662432609</c:v>
                </c:pt>
                <c:pt idx="3">
                  <c:v>0.204912662432609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0.105765682293455</c:v>
                </c:pt>
                <c:pt idx="2">
                  <c:v>0.566538275764144</c:v>
                </c:pt>
                <c:pt idx="3">
                  <c:v>0.45037580324461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352648"/>
        <c:axId val="1831342168"/>
      </c:barChart>
      <c:catAx>
        <c:axId val="1831352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4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134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5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0.0271284596029892</c:v>
                </c:pt>
                <c:pt idx="1">
                  <c:v>0.0195382070636774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0.0658834018929738</c:v>
                </c:pt>
                <c:pt idx="1">
                  <c:v>0.0474499314403595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0.247543359872525</c:v>
                </c:pt>
                <c:pt idx="1">
                  <c:v>0.178283378164785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0.114167426767789</c:v>
                </c:pt>
                <c:pt idx="1">
                  <c:v>0.082224603120131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0.0225325735984555</c:v>
                </c:pt>
                <c:pt idx="3">
                  <c:v>0.0110981332649109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0.146363969908733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0.0195534406549575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0.22409243647936</c:v>
                </c:pt>
                <c:pt idx="1">
                  <c:v>0.22409243647936</c:v>
                </c:pt>
                <c:pt idx="2">
                  <c:v>0.22409243647936</c:v>
                </c:pt>
                <c:pt idx="3">
                  <c:v>0.22409243647936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0.2540370576011</c:v>
                </c:pt>
                <c:pt idx="2">
                  <c:v>0.538510926140203</c:v>
                </c:pt>
                <c:pt idx="3">
                  <c:v>0.426838268092677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916152"/>
        <c:axId val="-1990912840"/>
      </c:barChart>
      <c:catAx>
        <c:axId val="-1990916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1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091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091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037096"/>
        <c:axId val="1831028168"/>
      </c:barChart>
      <c:catAx>
        <c:axId val="183103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2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02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03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27579.230187310182</v>
      </c>
      <c r="T23" s="179">
        <f>SUM(T7:T22)</f>
        <v>26969.056501782536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17285.275269858168</v>
      </c>
      <c r="T30" s="234">
        <f t="shared" si="24"/>
        <v>17895.448955385815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5.5511151231257827E-17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0.24260662263301591</v>
      </c>
      <c r="K31" s="22" t="str">
        <f t="shared" si="4"/>
        <v/>
      </c>
      <c r="L31" s="22">
        <f>(1-SUM(L6:L30))</f>
        <v>0.31297770790751611</v>
      </c>
      <c r="M31" s="241">
        <f t="shared" si="6"/>
        <v>0.24260662263301591</v>
      </c>
      <c r="N31" s="167">
        <f>M31*I83</f>
        <v>6703.4903629140217</v>
      </c>
      <c r="P31" s="22"/>
      <c r="Q31" s="238" t="s">
        <v>142</v>
      </c>
      <c r="R31" s="234">
        <f t="shared" si="24"/>
        <v>0</v>
      </c>
      <c r="S31" s="234">
        <f t="shared" si="24"/>
        <v>36549.955269858168</v>
      </c>
      <c r="T31" s="234">
        <f>IF(T25&gt;T$23,T25-T$23,0)</f>
        <v>37160.128955385815</v>
      </c>
      <c r="V31" s="56"/>
      <c r="W31" s="129" t="s">
        <v>84</v>
      </c>
      <c r="X31" s="130"/>
      <c r="Y31" s="121">
        <f>M31*4</f>
        <v>0.97042649053206365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0.47790828799037177</v>
      </c>
      <c r="AF31" s="134"/>
      <c r="AG31" s="133">
        <f>1-AG32+IF($Y32&lt;0,$Y32/4,0)</f>
        <v>0.49251820254169165</v>
      </c>
      <c r="AH31" s="123"/>
      <c r="AI31" s="182">
        <f>SUM(AA31,AC31,AE31,AG31)/4</f>
        <v>0.24260662263301586</v>
      </c>
      <c r="AJ31" s="135">
        <f t="shared" si="14"/>
        <v>0</v>
      </c>
      <c r="AK31" s="136">
        <f t="shared" si="15"/>
        <v>0.48521324526603171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0.75739337736698409</v>
      </c>
      <c r="J32" s="17"/>
      <c r="L32" s="22">
        <f>SUM(L6:L30)</f>
        <v>0.68702229209248389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73380.115269858172</v>
      </c>
      <c r="T32" s="234">
        <f t="shared" si="24"/>
        <v>73990.288955385826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0.52209171200962823</v>
      </c>
      <c r="AF32" s="137"/>
      <c r="AG32" s="139">
        <f>SUM(AG6:AG30)</f>
        <v>0.50748179745830835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6.8943974089033366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0.35039799749687106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0.35039799749687106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7.6691737281197927E-13</v>
      </c>
      <c r="AJ74" s="148">
        <f>(AA74+AC74)</f>
        <v>7.6691737281197927E-13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-7.6691737281197927E-13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0.35039799749687106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3301.2841613007727</v>
      </c>
      <c r="AF77" s="112"/>
      <c r="AG77" s="111">
        <f>AG31*$I$83/4</f>
        <v>3402.2062016132472</v>
      </c>
      <c r="AH77" s="110"/>
      <c r="AI77" s="154">
        <f>SUM(AA77,AC77,AE77,AG77)</f>
        <v>6703.4903629140199</v>
      </c>
      <c r="AJ77" s="153">
        <f>SUM(AA77,AC77)</f>
        <v>0</v>
      </c>
      <c r="AK77" s="160">
        <f>SUM(AE77,AG77)</f>
        <v>6703.4903629140199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0.5066173534095626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0.5066173534095626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0.5066173534095626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32279.892936981327</v>
      </c>
      <c r="T23" s="179">
        <f>SUM(T7:T22)</f>
        <v>29675.178415088427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12584.612520187024</v>
      </c>
      <c r="T30" s="234">
        <f t="shared" si="50"/>
        <v>15189.327042079924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0.12251349860586892</v>
      </c>
      <c r="AF30" s="122">
        <f>IF($Y30=0,0,AG30/($Y$30))</f>
        <v>0</v>
      </c>
      <c r="AG30" s="187">
        <f>IF(AG79*4/$I$83+SUM(AG6:AG29)&lt;1,AG79*4/$I$83,1-SUM(AG6:AG29))</f>
        <v>-0.12251349860586905</v>
      </c>
      <c r="AH30" s="123">
        <f t="shared" si="12"/>
        <v>0</v>
      </c>
      <c r="AI30" s="183">
        <f t="shared" si="13"/>
        <v>-3.1225022567582528E-17</v>
      </c>
      <c r="AJ30" s="120">
        <f t="shared" si="14"/>
        <v>0</v>
      </c>
      <c r="AK30" s="119">
        <f t="shared" si="15"/>
        <v>-6.2450045135165055E-17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0.15016958769459066</v>
      </c>
      <c r="K31" s="22" t="str">
        <f t="shared" si="4"/>
        <v/>
      </c>
      <c r="L31" s="22">
        <f>(1-SUM(L6:L30))</f>
        <v>0.27380190570743312</v>
      </c>
      <c r="M31" s="178">
        <f t="shared" si="6"/>
        <v>0.15016958769459066</v>
      </c>
      <c r="N31" s="167">
        <f>M31*I83</f>
        <v>4149.3524496081327</v>
      </c>
      <c r="P31" s="22"/>
      <c r="Q31" s="238" t="s">
        <v>142</v>
      </c>
      <c r="R31" s="234">
        <f t="shared" si="50"/>
        <v>0</v>
      </c>
      <c r="S31" s="234">
        <f t="shared" si="50"/>
        <v>31849.292520187024</v>
      </c>
      <c r="T31" s="234">
        <f>IF(T25&gt;T$23,T25-T$23,0)</f>
        <v>34454.007042079924</v>
      </c>
      <c r="V31" s="56"/>
      <c r="W31" s="129" t="s">
        <v>84</v>
      </c>
      <c r="X31" s="130"/>
      <c r="Y31" s="121">
        <f>M31*4</f>
        <v>0.60067835077836262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5.8442049381735695E-2</v>
      </c>
      <c r="AF31" s="134"/>
      <c r="AG31" s="133">
        <f>1-AG32+IF($Y32&lt;0,$Y32/4,0)</f>
        <v>0.54223630139662671</v>
      </c>
      <c r="AH31" s="123"/>
      <c r="AI31" s="182">
        <f>SUM(AA31,AC31,AE31,AG31)/4</f>
        <v>0.1501695876945906</v>
      </c>
      <c r="AJ31" s="135">
        <f t="shared" si="14"/>
        <v>0</v>
      </c>
      <c r="AK31" s="136">
        <f t="shared" si="15"/>
        <v>0.3003391753891812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0.84983041230540934</v>
      </c>
      <c r="J32" s="17"/>
      <c r="L32" s="22">
        <f>SUM(L6:L30)</f>
        <v>0.72619809429256688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68679.452520187027</v>
      </c>
      <c r="T32" s="234">
        <f t="shared" si="50"/>
        <v>71284.167042079935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0.94155795061826431</v>
      </c>
      <c r="AF32" s="137"/>
      <c r="AG32" s="139">
        <f>SUM(AG6:AG30)</f>
        <v>0.45776369860337329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4.1079119387359864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30304.65459247179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0.24995599068254198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648.885751811879</v>
      </c>
      <c r="AB37" s="122">
        <f>IF($J37=0,0,AC37/($J37))</f>
        <v>0.24938755299003629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647.41008756213421</v>
      </c>
      <c r="AD37" s="122">
        <f>IF($J37=0,0,AE37/($J37))</f>
        <v>0.50065645632742173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1299.7041606259868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2596</v>
      </c>
      <c r="AJ37" s="148">
        <f>(AA37+AC37)</f>
        <v>1296.2958393740132</v>
      </c>
      <c r="AK37" s="147">
        <f>(AE37+AG37)</f>
        <v>1299.7041606259868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0.24995599068254198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194.6657255435637</v>
      </c>
      <c r="AB38" s="122">
        <f>IF($J38=0,0,AC38/($J38))</f>
        <v>0.25000000000000006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194.70000000000005</v>
      </c>
      <c r="AD38" s="122">
        <f>IF($J38=0,0,AE38/($J38))</f>
        <v>0.50004400931745796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389.43427445643624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389.36572554356371</v>
      </c>
      <c r="AK38" s="147">
        <f t="shared" ref="AK38:AK64" si="63">(AE38+AG38)</f>
        <v>389.43427445643624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12400.383999999998</v>
      </c>
      <c r="J65" s="39">
        <f>SUM(J37:J64)</f>
        <v>12400.384000000002</v>
      </c>
      <c r="K65" s="40">
        <f>SUM(K37:K64)</f>
        <v>1</v>
      </c>
      <c r="L65" s="22">
        <f>SUM(L37:L64)</f>
        <v>0.39980427523227546</v>
      </c>
      <c r="M65" s="24">
        <f>SUM(M37:M64)</f>
        <v>0.28169246495990552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3100.0960000000005</v>
      </c>
      <c r="AB65" s="137"/>
      <c r="AC65" s="153">
        <f>SUM(AC37:AC64)</f>
        <v>3100.57297373136</v>
      </c>
      <c r="AD65" s="137"/>
      <c r="AE65" s="153">
        <f>SUM(AE37:AE64)</f>
        <v>3945.9150262686403</v>
      </c>
      <c r="AF65" s="137"/>
      <c r="AG65" s="153">
        <f>SUM(AG37:AG64)</f>
        <v>2253.8000000000002</v>
      </c>
      <c r="AH65" s="137"/>
      <c r="AI65" s="153">
        <f>SUM(AI37:AI64)</f>
        <v>12400.384000000002</v>
      </c>
      <c r="AJ65" s="153">
        <f>SUM(AJ37:AJ64)</f>
        <v>6200.66897373136</v>
      </c>
      <c r="AK65" s="153">
        <f>SUM(AK37:AK64)</f>
        <v>6199.7150262686409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12400.384000000002</v>
      </c>
      <c r="J70" s="51">
        <f t="shared" ref="J70:J77" si="75">J124*I$83</f>
        <v>12400.384000000002</v>
      </c>
      <c r="K70" s="40">
        <f>B70/B$76</f>
        <v>0.3803437741154676</v>
      </c>
      <c r="L70" s="22">
        <f t="shared" ref="L70:L75" si="76">(L124*G$37*F$9/F$7)/B$130</f>
        <v>0.39980427523227557</v>
      </c>
      <c r="M70" s="24">
        <f>J70/B$76</f>
        <v>0.28169246495990552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3100.0960000000005</v>
      </c>
      <c r="AB70" s="116">
        <v>0.25</v>
      </c>
      <c r="AC70" s="147">
        <f>$J70*AB70</f>
        <v>3100.0960000000005</v>
      </c>
      <c r="AD70" s="116">
        <v>0.25</v>
      </c>
      <c r="AE70" s="147">
        <f>$J70*AD70</f>
        <v>3100.0960000000005</v>
      </c>
      <c r="AF70" s="122">
        <f>1-SUM(Z70,AB70,AD70)</f>
        <v>0.25</v>
      </c>
      <c r="AG70" s="147">
        <f>$J70*AF70</f>
        <v>3100.0960000000005</v>
      </c>
      <c r="AH70" s="155">
        <f>SUM(Z70,AB70,AD70,AF70)</f>
        <v>1</v>
      </c>
      <c r="AI70" s="147">
        <f>SUM(AA70,AC70,AE70,AG70)</f>
        <v>12400.384000000002</v>
      </c>
      <c r="AJ70" s="148">
        <f>(AA70+AC70)</f>
        <v>6200.1920000000009</v>
      </c>
      <c r="AK70" s="147">
        <f>(AE70+AG70)</f>
        <v>6200.1920000000009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846.29599999999937</v>
      </c>
      <c r="AF74" s="156"/>
      <c r="AG74" s="147">
        <f>AG30*$I$83/4</f>
        <v>-846.29600000000028</v>
      </c>
      <c r="AH74" s="155"/>
      <c r="AI74" s="147">
        <f>SUM(AA74,AC74,AE74,AG74)</f>
        <v>-9.0949470177292824E-13</v>
      </c>
      <c r="AJ74" s="148">
        <f>(AA74+AC74)</f>
        <v>0</v>
      </c>
      <c r="AK74" s="147">
        <f>(AE74+AG74)</f>
        <v>-9.0949470177292824E-13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0.47697373135952148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0.47697373135997623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12400.384000000002</v>
      </c>
      <c r="J76" s="51">
        <f t="shared" si="75"/>
        <v>12400.384000000002</v>
      </c>
      <c r="K76" s="40">
        <f>SUM(K70:K75)</f>
        <v>1.7796531946193184</v>
      </c>
      <c r="L76" s="22">
        <f>SUM(L70:L75)</f>
        <v>0.39980427523227557</v>
      </c>
      <c r="M76" s="24">
        <f>SUM(M70:M75)</f>
        <v>0.28169246495990552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3100.0960000000005</v>
      </c>
      <c r="AB76" s="137"/>
      <c r="AC76" s="153">
        <f>AC65</f>
        <v>3100.57297373136</v>
      </c>
      <c r="AD76" s="137"/>
      <c r="AE76" s="153">
        <f>AE65</f>
        <v>3945.9150262686403</v>
      </c>
      <c r="AF76" s="137"/>
      <c r="AG76" s="153">
        <f>AG65</f>
        <v>2253.8000000000002</v>
      </c>
      <c r="AH76" s="137"/>
      <c r="AI76" s="153">
        <f>SUM(AA76,AC76,AE76,AG76)</f>
        <v>12400.384000000002</v>
      </c>
      <c r="AJ76" s="154">
        <f>SUM(AA76,AC76)</f>
        <v>6200.6689737313609</v>
      </c>
      <c r="AK76" s="154">
        <f>SUM(AE76,AG76)</f>
        <v>6199.7150262686409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30304.65459247179</v>
      </c>
      <c r="J77" s="100">
        <f t="shared" si="75"/>
        <v>30304.65459247179</v>
      </c>
      <c r="K77" s="40"/>
      <c r="L77" s="22">
        <f>-(L131*G$37*F$9/F$7)/B$130</f>
        <v>-0.68841358879788717</v>
      </c>
      <c r="M77" s="24">
        <f>-J77/B$76</f>
        <v>-0.68841358879788717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403.70467896503317</v>
      </c>
      <c r="AF77" s="112"/>
      <c r="AG77" s="111">
        <f>AG31*$I$83/4</f>
        <v>3745.6477706430983</v>
      </c>
      <c r="AH77" s="110"/>
      <c r="AI77" s="154">
        <f>SUM(AA77,AC77,AE77,AG77)</f>
        <v>4149.3524496081318</v>
      </c>
      <c r="AJ77" s="153">
        <f>SUM(AA77,AC77)</f>
        <v>0</v>
      </c>
      <c r="AK77" s="160">
        <f>SUM(AE77,AG77)</f>
        <v>4149.3524496081318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0.47697373135952148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0.47697373135952148</v>
      </c>
      <c r="AD79" s="112"/>
      <c r="AE79" s="112">
        <f>AC79-AC74+AE65-AE70</f>
        <v>846.29599999999937</v>
      </c>
      <c r="AF79" s="112"/>
      <c r="AG79" s="112">
        <f>AE79-AE74+AG65-AG70</f>
        <v>-846.29600000000028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0.44878341262874943</v>
      </c>
      <c r="J119" s="24">
        <f>SUM(J91:J118)</f>
        <v>0.44878341262874943</v>
      </c>
      <c r="K119" s="22">
        <f>SUM(K91:K118)</f>
        <v>2.6287271508765202</v>
      </c>
      <c r="L119" s="22">
        <f>SUM(L91:L118)</f>
        <v>0.63695536566035882</v>
      </c>
      <c r="M119" s="57">
        <f t="shared" si="80"/>
        <v>0.44878341262874943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0.44878341262874943</v>
      </c>
      <c r="J124" s="237">
        <f>IF(SUMPRODUCT($B$124:$B124,$H$124:$H124)&lt;J$119,($B124*$H124),J$119)</f>
        <v>0.44878341262874943</v>
      </c>
      <c r="K124" s="29">
        <f>(B124)</f>
        <v>0.99982000568417595</v>
      </c>
      <c r="L124" s="29">
        <f>IF(SUMPRODUCT($B$124:$B124,$H$124:$H124)&lt;L$119,($B124*$H124),L$119)</f>
        <v>0.63695536566035882</v>
      </c>
      <c r="M124" s="240">
        <f t="shared" si="93"/>
        <v>0.44878341262874943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0.44878341262874943</v>
      </c>
      <c r="J130" s="228">
        <f>(J119)</f>
        <v>0.44878341262874943</v>
      </c>
      <c r="K130" s="29">
        <f>(B130)</f>
        <v>2.6287271508765202</v>
      </c>
      <c r="L130" s="29">
        <f>(L119)</f>
        <v>0.63695536566035882</v>
      </c>
      <c r="M130" s="240">
        <f t="shared" si="93"/>
        <v>0.44878341262874943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1.0967584799426366</v>
      </c>
      <c r="J131" s="237">
        <f>IF(SUMPRODUCT($B124:$B125,$H124:$H125)&gt;(J119-J128),SUMPRODUCT($B124:$B125,$H124:$H125)+J128-J119,0)</f>
        <v>1.0967584799426366</v>
      </c>
      <c r="K131" s="29"/>
      <c r="L131" s="29">
        <f>IF(I131&lt;SUM(L126:L127),0,I131-(SUM(L126:L127)))</f>
        <v>1.0967584799426366</v>
      </c>
      <c r="M131" s="237">
        <f>IF(I131&lt;SUM(M126:M127),0,I131-(SUM(M126:M127)))</f>
        <v>1.0967584799426366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7979.8126693691047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44349.697641140665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0.48864422331667551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2.2803397088111525E-2</v>
      </c>
      <c r="AB8" s="125">
        <f>IF($Y8=0,0,AC8/$Y8)</f>
        <v>0.51135577668332455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2.3863269578555144E-2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0.48864422331667556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5.5379678642556565E-2</v>
      </c>
      <c r="AB9" s="125">
        <f>IF($Y9=0,0,AC9/$Y9)</f>
        <v>0.51135577668332444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5.7953654690776776E-2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0.15478752634910056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0.15478752634910056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0.61915010539640225</v>
      </c>
      <c r="Z10" s="125">
        <f>IF($Y10=0,0,AA10/$Y10)</f>
        <v>0.48864422331667562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0.30254412236786282</v>
      </c>
      <c r="AB10" s="125">
        <f>IF($Y10=0,0,AC10/$Y10)</f>
        <v>0.51135577668332444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0.31660598302853943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0.15478752634910056</v>
      </c>
      <c r="AJ10" s="120">
        <f t="shared" si="14"/>
        <v>0.30957505269820113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0.48864422331667562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9.5965830910168151E-2</v>
      </c>
      <c r="AB11" s="125">
        <f>IF($Y11=0,0,AC11/$Y11)</f>
        <v>0.51135577668332444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0.10042619897775214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5.1063425452480792E-3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5.1063425452480792E-3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2.0425370180992317E-2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1.3684998021264853E-2</v>
      </c>
      <c r="AF12" s="122">
        <f>1-SUM(Z12,AB12,AD12)</f>
        <v>0.32999999999999996</v>
      </c>
      <c r="AG12" s="121">
        <f>$M12*AF12*4</f>
        <v>6.7403721597274636E-3</v>
      </c>
      <c r="AH12" s="123">
        <f t="shared" si="12"/>
        <v>1</v>
      </c>
      <c r="AI12" s="183">
        <f t="shared" si="13"/>
        <v>5.1063425452480792E-3</v>
      </c>
      <c r="AJ12" s="120">
        <f t="shared" si="14"/>
        <v>0</v>
      </c>
      <c r="AK12" s="119">
        <f t="shared" si="15"/>
        <v>1.0212685090496158E-2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3.5893340770765253E-2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3.5893340770765253E-2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0.14357336308306101</v>
      </c>
      <c r="Z13" s="156">
        <f>Poor!Z13</f>
        <v>1</v>
      </c>
      <c r="AA13" s="121">
        <f>$M13*Z13*4</f>
        <v>0.14357336308306101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3.5893340770765253E-2</v>
      </c>
      <c r="AJ13" s="120">
        <f t="shared" si="14"/>
        <v>7.1786681541530506E-2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3.9129008806704259E-3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3.9129008806704259E-3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1.5651603522681704E-2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1.5651603522681704E-2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3.9129008806704259E-3</v>
      </c>
      <c r="AJ14" s="120">
        <f t="shared" si="14"/>
        <v>7.8258017613408518E-3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95290.023894676197</v>
      </c>
      <c r="T23" s="179">
        <f>SUM(T7:T22)</f>
        <v>95702.501513046911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0.2049126624326095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0.2049126624326095</v>
      </c>
      <c r="N29" s="229"/>
      <c r="P29" s="22"/>
      <c r="V29" s="56"/>
      <c r="W29" s="110"/>
      <c r="X29" s="118"/>
      <c r="Y29" s="183">
        <f t="shared" si="9"/>
        <v>0.819650649730438</v>
      </c>
      <c r="Z29" s="156">
        <f>Poor!Z29</f>
        <v>0.25</v>
      </c>
      <c r="AA29" s="121">
        <f t="shared" si="16"/>
        <v>0.2049126624326095</v>
      </c>
      <c r="AB29" s="156">
        <f>Poor!AB29</f>
        <v>0.25</v>
      </c>
      <c r="AC29" s="121">
        <f t="shared" si="7"/>
        <v>0.2049126624326095</v>
      </c>
      <c r="AD29" s="156">
        <f>Poor!AD29</f>
        <v>0.25</v>
      </c>
      <c r="AE29" s="121">
        <f t="shared" si="8"/>
        <v>0.2049126624326095</v>
      </c>
      <c r="AF29" s="122">
        <f t="shared" si="10"/>
        <v>0.25</v>
      </c>
      <c r="AG29" s="121">
        <f t="shared" si="11"/>
        <v>0.2049126624326095</v>
      </c>
      <c r="AH29" s="123">
        <f t="shared" si="12"/>
        <v>1</v>
      </c>
      <c r="AI29" s="183">
        <f t="shared" si="13"/>
        <v>0.2049126624326095</v>
      </c>
      <c r="AJ29" s="120">
        <f t="shared" si="14"/>
        <v>0.2049126624326095</v>
      </c>
      <c r="AK29" s="119">
        <f t="shared" si="15"/>
        <v>0.2049126624326095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1.7966531481749985</v>
      </c>
      <c r="J30" s="231">
        <f>IF(I$32&lt;=1,I30,1-SUM(J6:J29))</f>
        <v>0.28066994032555237</v>
      </c>
      <c r="K30" s="22">
        <f t="shared" si="4"/>
        <v>0.68973576089663757</v>
      </c>
      <c r="L30" s="22">
        <f>IF(L124=L119,0,IF(K30="",0,(L119-L124)/(B119-B124)*K30))</f>
        <v>0.40503983113895464</v>
      </c>
      <c r="M30" s="175">
        <f t="shared" si="6"/>
        <v>0.28066994032555237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1.1226797613022095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9.4208238127296409E-2</v>
      </c>
      <c r="AC30" s="187">
        <f>IF(AC79*4/$I$84+SUM(AC6:AC29)&lt;1,AC79*4/$I$84,1-SUM(AC6:AC29))</f>
        <v>0.10576568229345484</v>
      </c>
      <c r="AD30" s="122">
        <f>IF($Y30=0,0,AE30/($Y$30))</f>
        <v>0.50463034543974472</v>
      </c>
      <c r="AE30" s="187">
        <f>IF(AE79*4/$I$84+SUM(AE6:AE29)&lt;1,AE79*4/$I$84,1-SUM(AE6:AE29))</f>
        <v>0.56653827576414406</v>
      </c>
      <c r="AF30" s="122">
        <f>IF($Y30=0,0,AG30/($Y$30))</f>
        <v>0.40116141643295883</v>
      </c>
      <c r="AG30" s="187">
        <f>IF(AG79*4/$I$84+SUM(AG6:AG29)&lt;1,AG79*4/$I$84,1-SUM(AG6:AG29))</f>
        <v>0.45037580324461046</v>
      </c>
      <c r="AH30" s="123">
        <f t="shared" si="12"/>
        <v>1</v>
      </c>
      <c r="AI30" s="183">
        <f t="shared" si="13"/>
        <v>0.28066994032555237</v>
      </c>
      <c r="AJ30" s="120">
        <f t="shared" si="14"/>
        <v>5.2882841146727422E-2</v>
      </c>
      <c r="AK30" s="119">
        <f t="shared" si="15"/>
        <v>0.50845703950437726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-7.8330149936848947E-2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2.9952956950452343</v>
      </c>
      <c r="J32" s="17"/>
      <c r="L32" s="22">
        <f>SUM(L6:L30)</f>
        <v>1.0783301499368489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5669.3215624921577</v>
      </c>
      <c r="T32" s="234">
        <f t="shared" si="24"/>
        <v>5256.8439441214432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8.7635948638660352E-2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0.446326703137644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3791.9916698574225</v>
      </c>
      <c r="AF37" s="122">
        <f t="shared" ref="AF37:AF64" si="29">1-SUM(Z37,AB37,AD37)</f>
        <v>0.553673296862356</v>
      </c>
      <c r="AG37" s="147">
        <f>$J37*AF37</f>
        <v>4704.0083301425757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0.44632670313764394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1820.1560015315629</v>
      </c>
      <c r="AF38" s="122">
        <f t="shared" si="29"/>
        <v>0.55367329686235611</v>
      </c>
      <c r="AG38" s="147">
        <f t="shared" ref="AG38:AG64" si="36">$J38*AF38</f>
        <v>2257.9239984684368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0.48864422331667551</v>
      </c>
      <c r="AA39" s="147">
        <f t="shared" ref="AA39:AA64" si="40">$J39*Z39</f>
        <v>484.34415415148868</v>
      </c>
      <c r="AB39" s="122">
        <f>AB8</f>
        <v>0.51135577668332455</v>
      </c>
      <c r="AC39" s="147">
        <f t="shared" ref="AC39:AC64" si="41">$J39*AB39</f>
        <v>506.85584584851119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0.48864422331667556</v>
      </c>
      <c r="AA40" s="147">
        <f t="shared" si="40"/>
        <v>17564.316607117904</v>
      </c>
      <c r="AB40" s="122">
        <f>AB9</f>
        <v>0.51135577668332444</v>
      </c>
      <c r="AC40" s="147">
        <f t="shared" si="41"/>
        <v>18380.683392882096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5569.0701695096168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7.1872880809312992E-2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0.48864422331667562</v>
      </c>
      <c r="AA41" s="147">
        <f t="shared" si="40"/>
        <v>2721.2939675760936</v>
      </c>
      <c r="AB41" s="122">
        <f>AB11</f>
        <v>0.51135577668332444</v>
      </c>
      <c r="AC41" s="147">
        <f t="shared" si="41"/>
        <v>2847.7762019335232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5569.0701695096168</v>
      </c>
      <c r="AJ41" s="148">
        <f t="shared" si="38"/>
        <v>5569.0701695096168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919.66296377223046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1.1868916096950771E-2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229.91574094305761</v>
      </c>
      <c r="AB43" s="156">
        <f>Poor!AB43</f>
        <v>0.25</v>
      </c>
      <c r="AC43" s="147">
        <f t="shared" si="41"/>
        <v>229.91574094305761</v>
      </c>
      <c r="AD43" s="156">
        <f>Poor!AD43</f>
        <v>0.25</v>
      </c>
      <c r="AE43" s="147">
        <f t="shared" si="42"/>
        <v>229.91574094305761</v>
      </c>
      <c r="AF43" s="122">
        <f t="shared" si="29"/>
        <v>0.25</v>
      </c>
      <c r="AG43" s="147">
        <f t="shared" si="36"/>
        <v>229.91574094305761</v>
      </c>
      <c r="AH43" s="123">
        <f t="shared" si="37"/>
        <v>1</v>
      </c>
      <c r="AI43" s="112">
        <f t="shared" si="37"/>
        <v>919.66296377223046</v>
      </c>
      <c r="AJ43" s="148">
        <f t="shared" si="38"/>
        <v>459.83148188611523</v>
      </c>
      <c r="AK43" s="147">
        <f t="shared" si="39"/>
        <v>459.83148188611523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1277.3096719058753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1.6484605690209399E-2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319.32741797646884</v>
      </c>
      <c r="AB44" s="156">
        <f>Poor!AB44</f>
        <v>0.25</v>
      </c>
      <c r="AC44" s="147">
        <f t="shared" si="41"/>
        <v>319.32741797646884</v>
      </c>
      <c r="AD44" s="156">
        <f>Poor!AD44</f>
        <v>0.25</v>
      </c>
      <c r="AE44" s="147">
        <f t="shared" si="42"/>
        <v>319.32741797646884</v>
      </c>
      <c r="AF44" s="122">
        <f t="shared" si="29"/>
        <v>0.25</v>
      </c>
      <c r="AG44" s="147">
        <f t="shared" si="36"/>
        <v>319.32741797646884</v>
      </c>
      <c r="AH44" s="123">
        <f t="shared" si="37"/>
        <v>1</v>
      </c>
      <c r="AI44" s="112">
        <f t="shared" si="37"/>
        <v>1277.3096719058753</v>
      </c>
      <c r="AJ44" s="148">
        <f t="shared" si="38"/>
        <v>638.65483595293767</v>
      </c>
      <c r="AK44" s="147">
        <f t="shared" si="39"/>
        <v>638.65483595293767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638.65483595293767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8.2423028451046997E-3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159.66370898823442</v>
      </c>
      <c r="AB45" s="156">
        <f>Poor!AB45</f>
        <v>0.25</v>
      </c>
      <c r="AC45" s="147">
        <f t="shared" si="41"/>
        <v>159.66370898823442</v>
      </c>
      <c r="AD45" s="156">
        <f>Poor!AD45</f>
        <v>0.25</v>
      </c>
      <c r="AE45" s="147">
        <f t="shared" si="42"/>
        <v>159.66370898823442</v>
      </c>
      <c r="AF45" s="122">
        <f t="shared" si="29"/>
        <v>0.25</v>
      </c>
      <c r="AG45" s="147">
        <f t="shared" si="36"/>
        <v>159.66370898823442</v>
      </c>
      <c r="AH45" s="123">
        <f t="shared" si="37"/>
        <v>1</v>
      </c>
      <c r="AI45" s="112">
        <f t="shared" si="37"/>
        <v>638.65483595293767</v>
      </c>
      <c r="AJ45" s="148">
        <f t="shared" si="38"/>
        <v>319.32741797646884</v>
      </c>
      <c r="AK45" s="147">
        <f t="shared" si="39"/>
        <v>319.32741797646884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73083.88</v>
      </c>
      <c r="J65" s="39">
        <f>SUM(J37:J64)</f>
        <v>81488.577641140655</v>
      </c>
      <c r="K65" s="40">
        <f>SUM(K37:K64)</f>
        <v>1</v>
      </c>
      <c r="L65" s="22">
        <f>SUM(L37:L64)</f>
        <v>1.0620878879783184</v>
      </c>
      <c r="M65" s="24">
        <f>SUM(M37:M64)</f>
        <v>1.0516690668018411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27372.261596753251</v>
      </c>
      <c r="AB65" s="137"/>
      <c r="AC65" s="153">
        <f>SUM(AC37:AC64)</f>
        <v>28337.622308571896</v>
      </c>
      <c r="AD65" s="137"/>
      <c r="AE65" s="153">
        <f>SUM(AE37:AE64)</f>
        <v>12214.454539296745</v>
      </c>
      <c r="AF65" s="137"/>
      <c r="AG65" s="153">
        <f>SUM(AG37:AG64)</f>
        <v>13564.239196518773</v>
      </c>
      <c r="AH65" s="137"/>
      <c r="AI65" s="153">
        <f>SUM(AI37:AI64)</f>
        <v>81488.577641140655</v>
      </c>
      <c r="AJ65" s="153">
        <f>SUM(AJ37:AJ64)</f>
        <v>55709.883905325143</v>
      </c>
      <c r="AK65" s="153">
        <f>SUM(AK37:AK64)</f>
        <v>25778.693735815519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31028.316954101236</v>
      </c>
      <c r="K72" s="40">
        <f t="shared" si="47"/>
        <v>0.40281344776408334</v>
      </c>
      <c r="L72" s="22">
        <f t="shared" si="45"/>
        <v>0.36651146847791694</v>
      </c>
      <c r="M72" s="24">
        <f t="shared" si="48"/>
        <v>0.40044288512745996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49643.521407528198</v>
      </c>
      <c r="J74" s="51">
        <f t="shared" si="44"/>
        <v>7755.2220945676199</v>
      </c>
      <c r="K74" s="40">
        <f>B74/B$76</f>
        <v>0.14906630941568857</v>
      </c>
      <c r="L74" s="22">
        <f t="shared" si="45"/>
        <v>0.14443699132111765</v>
      </c>
      <c r="M74" s="24">
        <f>J74/B$76</f>
        <v>0.10008675349509737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1186.2812576089598</v>
      </c>
      <c r="AD74" s="156"/>
      <c r="AE74" s="147">
        <f>AE30*$I$84/4</f>
        <v>6354.3648911787968</v>
      </c>
      <c r="AF74" s="156"/>
      <c r="AG74" s="147">
        <f>AG30*$I$84/4</f>
        <v>5051.4719206111013</v>
      </c>
      <c r="AH74" s="155"/>
      <c r="AI74" s="147">
        <f>SUM(AA74,AC74,AE74,AG74)</f>
        <v>12592.118069398857</v>
      </c>
      <c r="AJ74" s="148">
        <f>(AA74+AC74)</f>
        <v>1186.2812576089598</v>
      </c>
      <c r="AK74" s="147">
        <f>(AE74+AG74)</f>
        <v>11405.836811789897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26105.225616827203</v>
      </c>
      <c r="AB75" s="158"/>
      <c r="AC75" s="149">
        <f>AA75+AC65-SUM(AC70,AC74)</f>
        <v>47396.477019672187</v>
      </c>
      <c r="AD75" s="158"/>
      <c r="AE75" s="149">
        <f>AC75+AE65-SUM(AE70,AE74)</f>
        <v>47396.477019672195</v>
      </c>
      <c r="AF75" s="158"/>
      <c r="AG75" s="149">
        <f>IF(SUM(AG6:AG29)+((AG65-AG70-$J$75)*4/I$83)&lt;1,0,AG65-AG70-$J$75-(1-SUM(AG6:AG29))*I$83/4)</f>
        <v>4593.0536681919002</v>
      </c>
      <c r="AH75" s="134"/>
      <c r="AI75" s="149">
        <f>AI76-SUM(AI70,AI74)</f>
        <v>45456.100979270006</v>
      </c>
      <c r="AJ75" s="151">
        <f>AJ76-SUM(AJ70,AJ74)</f>
        <v>42803.423351480284</v>
      </c>
      <c r="AK75" s="149">
        <f>AJ75+AK76-SUM(AK70,AK74)</f>
        <v>45456.100979270006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73083.87999999999</v>
      </c>
      <c r="J76" s="51">
        <f t="shared" si="44"/>
        <v>81488.57764114064</v>
      </c>
      <c r="K76" s="40">
        <f>SUM(K70:K75)</f>
        <v>1.0531008100330597</v>
      </c>
      <c r="L76" s="22">
        <f>SUM(L70:L75)</f>
        <v>1.0620878879783182</v>
      </c>
      <c r="M76" s="24">
        <f>SUM(M70:M75)</f>
        <v>1.0516690668018409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27372.261596753251</v>
      </c>
      <c r="AB76" s="137"/>
      <c r="AC76" s="153">
        <f>AC65</f>
        <v>28337.622308571896</v>
      </c>
      <c r="AD76" s="137"/>
      <c r="AE76" s="153">
        <f>AE65</f>
        <v>12214.454539296745</v>
      </c>
      <c r="AF76" s="137"/>
      <c r="AG76" s="153">
        <f>AG65</f>
        <v>13564.239196518773</v>
      </c>
      <c r="AH76" s="137"/>
      <c r="AI76" s="153">
        <f>SUM(AA76,AC76,AE76,AG76)</f>
        <v>81488.577641140655</v>
      </c>
      <c r="AJ76" s="154">
        <f>SUM(AA76,AC76)</f>
        <v>55709.883905325143</v>
      </c>
      <c r="AK76" s="154">
        <f>SUM(AE76,AG76)</f>
        <v>25778.693735815519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4593.0536681919002</v>
      </c>
      <c r="AB78" s="112"/>
      <c r="AC78" s="112">
        <f>IF(AA75&lt;0,0,AA75)</f>
        <v>26105.225616827203</v>
      </c>
      <c r="AD78" s="112"/>
      <c r="AE78" s="112">
        <f>AC75</f>
        <v>47396.477019672187</v>
      </c>
      <c r="AF78" s="112"/>
      <c r="AG78" s="112">
        <f>AE75</f>
        <v>47396.477019672195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26105.225616827203</v>
      </c>
      <c r="AB79" s="112"/>
      <c r="AC79" s="112">
        <f>AA79-AA74+AC65-AC70</f>
        <v>48582.758277281144</v>
      </c>
      <c r="AD79" s="112"/>
      <c r="AE79" s="112">
        <f>AC79-AC74+AE65-AE70</f>
        <v>53750.841910850984</v>
      </c>
      <c r="AF79" s="112"/>
      <c r="AG79" s="112">
        <f>AE79-AE74+AG65-AG70</f>
        <v>55100.626568073007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0.20155071938429436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0.20155071938429436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3.3283605035938524E-2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3.3283605035938524E-2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4.6227229216581275E-2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4.6227229216581275E-2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2.3113614608290638E-2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2.3113614608290638E-2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2.644985274210057</v>
      </c>
      <c r="J119" s="24">
        <f>SUM(J91:J118)</f>
        <v>2.9491604424551614</v>
      </c>
      <c r="K119" s="22">
        <f>SUM(K91:K118)</f>
        <v>4.627039896541814</v>
      </c>
      <c r="L119" s="22">
        <f>SUM(L91:L118)</f>
        <v>2.9783775947330371</v>
      </c>
      <c r="M119" s="57">
        <f t="shared" si="49"/>
        <v>2.9491604424551614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1.1229486095582231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1.0277958710226964</v>
      </c>
      <c r="M126" s="57">
        <f t="shared" si="65"/>
        <v>1.1229486095582231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1.7966531481749985</v>
      </c>
      <c r="J128" s="228">
        <f>(J30)</f>
        <v>0.28066994032555237</v>
      </c>
      <c r="K128" s="22">
        <f>(B128)</f>
        <v>0.68973576089663757</v>
      </c>
      <c r="L128" s="22">
        <f>IF(L124=L119,0,(L119-L124)/(B119-B124)*K128)</f>
        <v>0.40503983113895464</v>
      </c>
      <c r="M128" s="57">
        <f t="shared" si="63"/>
        <v>0.28066994032555237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2.644985274210057</v>
      </c>
      <c r="J130" s="228">
        <f>(J119)</f>
        <v>2.9491604424551614</v>
      </c>
      <c r="K130" s="22">
        <f>(B130)</f>
        <v>4.627039896541814</v>
      </c>
      <c r="L130" s="22">
        <f>(L119)</f>
        <v>2.9783775947330371</v>
      </c>
      <c r="M130" s="57">
        <f t="shared" si="63"/>
        <v>2.9491604424551614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6781.8272881017529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63689.852219282569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0.58132413434976915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2.7128459602989229E-2</v>
      </c>
      <c r="AB8" s="125">
        <f>IF($Y8=0,0,AC8/$Y8)</f>
        <v>0.41867586565023085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1.953820706367744E-2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0.58132413434976926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6.5883401892973856E-2</v>
      </c>
      <c r="AB9" s="125">
        <f>IF($Y9=0,0,AC9/$Y9)</f>
        <v>0.41867586565023074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4.7449931440359486E-2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0.10645668450932735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0.10645668450932735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0.42582673803730942</v>
      </c>
      <c r="Z10" s="125">
        <f>IF($Y10=0,0,AA10/$Y10)</f>
        <v>0.58132413434976915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0.24754335987252482</v>
      </c>
      <c r="AB10" s="125">
        <f>IF($Y10=0,0,AC10/$Y10)</f>
        <v>0.41867586565023085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0.17828337816478459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0.10645668450932735</v>
      </c>
      <c r="AJ10" s="120">
        <f t="shared" si="14"/>
        <v>0.21291336901865471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19221.747719530988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0.58132413434976926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0.11416742676778927</v>
      </c>
      <c r="AB11" s="125">
        <f>IF($Y11=0,0,AC11/$Y11)</f>
        <v>0.41867586565023079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8.2224603120131023E-2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8.4076767158416041E-3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8.4076767158416041E-3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3.3630706863366416E-2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2.2532573598455501E-2</v>
      </c>
      <c r="AF12" s="122">
        <f>1-SUM(Z12,AB12,AD12)</f>
        <v>0.32999999999999996</v>
      </c>
      <c r="AG12" s="121">
        <f>$M12*AF12*4</f>
        <v>1.1098133264910916E-2</v>
      </c>
      <c r="AH12" s="123">
        <f t="shared" si="12"/>
        <v>1</v>
      </c>
      <c r="AI12" s="183">
        <f t="shared" si="13"/>
        <v>8.4076767158416041E-3</v>
      </c>
      <c r="AJ12" s="120">
        <f t="shared" si="14"/>
        <v>0</v>
      </c>
      <c r="AK12" s="119">
        <f t="shared" si="15"/>
        <v>1.6815353431683208E-2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3.6590992477183129E-2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3.6590992477183129E-2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0.14636396990873252</v>
      </c>
      <c r="Z13" s="156">
        <f>Poor!Z13</f>
        <v>1</v>
      </c>
      <c r="AA13" s="121">
        <f>$M13*Z13*4</f>
        <v>0.14636396990873252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3.6590992477183129E-2</v>
      </c>
      <c r="AJ13" s="120">
        <f t="shared" si="14"/>
        <v>7.3181984954366258E-2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4.8883601637393793E-3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4.8883601637393793E-3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1.9553440654957517E-2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1.9553440654957517E-2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4.8883601637393793E-3</v>
      </c>
      <c r="AJ14" s="120">
        <f t="shared" si="14"/>
        <v>9.7767203274787585E-3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159079.46577205413</v>
      </c>
      <c r="T23" s="179">
        <f>SUM(T7:T22)</f>
        <v>158898.54642945246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0.22409243647935989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0.22409243647935989</v>
      </c>
      <c r="N29" s="229"/>
      <c r="P29" s="22"/>
      <c r="V29" s="56"/>
      <c r="W29" s="110"/>
      <c r="X29" s="118"/>
      <c r="Y29" s="183">
        <f t="shared" si="9"/>
        <v>0.89636974591743956</v>
      </c>
      <c r="Z29" s="156">
        <f>Poor!Z29</f>
        <v>0.25</v>
      </c>
      <c r="AA29" s="121">
        <f t="shared" si="16"/>
        <v>0.22409243647935989</v>
      </c>
      <c r="AB29" s="156">
        <f>Poor!AB29</f>
        <v>0.25</v>
      </c>
      <c r="AC29" s="121">
        <f t="shared" si="7"/>
        <v>0.22409243647935989</v>
      </c>
      <c r="AD29" s="156">
        <f>Poor!AD29</f>
        <v>0.25</v>
      </c>
      <c r="AE29" s="121">
        <f t="shared" si="8"/>
        <v>0.22409243647935989</v>
      </c>
      <c r="AF29" s="122">
        <f t="shared" si="10"/>
        <v>0.25</v>
      </c>
      <c r="AG29" s="121">
        <f t="shared" si="11"/>
        <v>0.22409243647935989</v>
      </c>
      <c r="AH29" s="123">
        <f t="shared" si="12"/>
        <v>1</v>
      </c>
      <c r="AI29" s="183">
        <f t="shared" si="13"/>
        <v>0.22409243647935989</v>
      </c>
      <c r="AJ29" s="120">
        <f t="shared" si="14"/>
        <v>0.22409243647935989</v>
      </c>
      <c r="AK29" s="119">
        <f t="shared" si="15"/>
        <v>0.22409243647935989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3.8299962631432849</v>
      </c>
      <c r="J30" s="231">
        <f>IF(I$32&lt;=1,I30,1-SUM(J6:J29))</f>
        <v>0.30484656295849488</v>
      </c>
      <c r="K30" s="22">
        <f t="shared" si="4"/>
        <v>0.78202263511830628</v>
      </c>
      <c r="L30" s="22">
        <f>IF(L124=L119,0,IF(K30="",0,(L119-L124)/(B119-B124)*K30))</f>
        <v>0.47685598725423867</v>
      </c>
      <c r="M30" s="175">
        <f t="shared" si="6"/>
        <v>0.30484656295849488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1.2193862518339795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0.20833190239681912</v>
      </c>
      <c r="AC30" s="187">
        <f>IF(AC79*4/$I$83+SUM(AC6:AC29)&lt;1,AC79*4/$I$83,1-SUM(AC6:AC29))</f>
        <v>0.25403705760109974</v>
      </c>
      <c r="AD30" s="122">
        <f>IF($Y30=0,0,AE30/($Y$30))</f>
        <v>0.44162456754803708</v>
      </c>
      <c r="AE30" s="187">
        <f>IF(AE79*4/$I$83+SUM(AE6:AE29)&lt;1,AE79*4/$I$83,1-SUM(AE6:AE29))</f>
        <v>0.53851092614020302</v>
      </c>
      <c r="AF30" s="122">
        <f>IF($Y30=0,0,AG30/($Y$30))</f>
        <v>0.3500435300551436</v>
      </c>
      <c r="AG30" s="187">
        <f>IF(AG79*4/$I$83+SUM(AG6:AG29)&lt;1,AG79*4/$I$83,1-SUM(AG6:AG29))</f>
        <v>0.42683826809267655</v>
      </c>
      <c r="AH30" s="123">
        <f t="shared" si="12"/>
        <v>0.99999999999999978</v>
      </c>
      <c r="AI30" s="183">
        <f t="shared" si="13"/>
        <v>0.30484656295849483</v>
      </c>
      <c r="AJ30" s="120">
        <f t="shared" si="14"/>
        <v>0.12701852880054987</v>
      </c>
      <c r="AK30" s="119">
        <f t="shared" si="15"/>
        <v>0.48267459711643979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-0.21073835982271527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5.249473261099725</v>
      </c>
      <c r="J32" s="17"/>
      <c r="L32" s="22">
        <f>SUM(L6:L30)</f>
        <v>1.2107383598227153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-5.6489555333161523E-2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11168.021579296485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8.1188318873605017E-2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11168.021579296485</v>
      </c>
      <c r="AH37" s="123">
        <f>SUM(Z37,AB37,AD37,AF37)</f>
        <v>1</v>
      </c>
      <c r="AI37" s="112">
        <f>SUM(AA37,AC37,AE37,AG37)</f>
        <v>11168.021579296485</v>
      </c>
      <c r="AJ37" s="148">
        <f>(AA37+AC37)</f>
        <v>0</v>
      </c>
      <c r="AK37" s="147">
        <f>(AE37+AG37)</f>
        <v>11168.021579296485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5717.3261402345042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4.1563323860177991E-2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5717.3261402345042</v>
      </c>
      <c r="AH38" s="123">
        <f t="shared" ref="AH38:AI58" si="35">SUM(Z38,AB38,AD38,AF38)</f>
        <v>1</v>
      </c>
      <c r="AI38" s="112">
        <f t="shared" si="35"/>
        <v>5717.3261402345042</v>
      </c>
      <c r="AJ38" s="148">
        <f t="shared" ref="AJ38:AJ64" si="36">(AA38+AC38)</f>
        <v>0</v>
      </c>
      <c r="AK38" s="147">
        <f t="shared" ref="AK38:AK64" si="37">(AE38+AG38)</f>
        <v>5717.3261402345042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0.58132413434976915</v>
      </c>
      <c r="AA39" s="147">
        <f>$J39*Z39</f>
        <v>1358.2057074948004</v>
      </c>
      <c r="AB39" s="122">
        <f>AB8</f>
        <v>0.41867586565023085</v>
      </c>
      <c r="AC39" s="147">
        <f>$J39*AB39</f>
        <v>978.1942925051992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0.58132413434976926</v>
      </c>
      <c r="AA40" s="147">
        <f>$J40*Z40</f>
        <v>24415.613642690303</v>
      </c>
      <c r="AB40" s="122">
        <f>AB9</f>
        <v>0.41867586565023074</v>
      </c>
      <c r="AC40" s="147">
        <f>$J40*AB40</f>
        <v>17584.38635730969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41999.999999999993</v>
      </c>
      <c r="AJ40" s="148">
        <f t="shared" si="36"/>
        <v>41999.999999999993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7738.5746949043414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5.6257222059977623E-2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0.58132413434976926</v>
      </c>
      <c r="AA41" s="147">
        <f>$J41*Z41</f>
        <v>4498.6202356162958</v>
      </c>
      <c r="AB41" s="122">
        <f>AB11</f>
        <v>0.41867586565023079</v>
      </c>
      <c r="AC41" s="147">
        <f>$J41*AB41</f>
        <v>3239.9544592880457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7738.5746949043414</v>
      </c>
      <c r="AJ41" s="148">
        <f t="shared" si="36"/>
        <v>7738.5746949043414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5324.7073588791327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3.8709097747691011E-2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1331.1768397197832</v>
      </c>
      <c r="AB43" s="156">
        <f>Poor!AB43</f>
        <v>0.25</v>
      </c>
      <c r="AC43" s="147">
        <f t="shared" si="39"/>
        <v>1331.1768397197832</v>
      </c>
      <c r="AD43" s="156">
        <f>Poor!AD43</f>
        <v>0.25</v>
      </c>
      <c r="AE43" s="147">
        <f t="shared" si="40"/>
        <v>1331.1768397197832</v>
      </c>
      <c r="AF43" s="122">
        <f t="shared" si="31"/>
        <v>0.25</v>
      </c>
      <c r="AG43" s="147">
        <f t="shared" si="34"/>
        <v>1331.1768397197832</v>
      </c>
      <c r="AH43" s="123">
        <f t="shared" si="35"/>
        <v>1</v>
      </c>
      <c r="AI43" s="112">
        <f t="shared" si="35"/>
        <v>5324.7073588791327</v>
      </c>
      <c r="AJ43" s="148">
        <f t="shared" si="36"/>
        <v>2662.3536794395663</v>
      </c>
      <c r="AK43" s="147">
        <f t="shared" si="37"/>
        <v>2662.3536794395663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3697.7134436660649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2.6881317880340986E-2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924.42836091651623</v>
      </c>
      <c r="AB44" s="156">
        <f>Poor!AB44</f>
        <v>0.25</v>
      </c>
      <c r="AC44" s="147">
        <f t="shared" si="39"/>
        <v>924.42836091651623</v>
      </c>
      <c r="AD44" s="156">
        <f>Poor!AD44</f>
        <v>0.25</v>
      </c>
      <c r="AE44" s="147">
        <f t="shared" si="40"/>
        <v>924.42836091651623</v>
      </c>
      <c r="AF44" s="122">
        <f t="shared" si="31"/>
        <v>0.25</v>
      </c>
      <c r="AG44" s="147">
        <f t="shared" si="34"/>
        <v>924.42836091651623</v>
      </c>
      <c r="AH44" s="123">
        <f t="shared" si="35"/>
        <v>1</v>
      </c>
      <c r="AI44" s="112">
        <f t="shared" si="35"/>
        <v>3697.7134436660649</v>
      </c>
      <c r="AJ44" s="148">
        <f t="shared" si="36"/>
        <v>1848.8567218330325</v>
      </c>
      <c r="AK44" s="147">
        <f t="shared" si="37"/>
        <v>1848.8567218330325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1848.8567218330325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1.3440658940170493E-2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462.21418045825811</v>
      </c>
      <c r="AB45" s="156">
        <f>Poor!AB45</f>
        <v>0.25</v>
      </c>
      <c r="AC45" s="147">
        <f t="shared" si="39"/>
        <v>462.21418045825811</v>
      </c>
      <c r="AD45" s="156">
        <f>Poor!AD45</f>
        <v>0.25</v>
      </c>
      <c r="AE45" s="147">
        <f t="shared" si="40"/>
        <v>462.21418045825811</v>
      </c>
      <c r="AF45" s="122">
        <f t="shared" si="31"/>
        <v>0.25</v>
      </c>
      <c r="AG45" s="147">
        <f t="shared" si="34"/>
        <v>462.21418045825811</v>
      </c>
      <c r="AH45" s="123">
        <f t="shared" si="35"/>
        <v>1</v>
      </c>
      <c r="AI45" s="112">
        <f t="shared" si="35"/>
        <v>1848.8567218330325</v>
      </c>
      <c r="AJ45" s="148">
        <f t="shared" si="36"/>
        <v>924.42836091651623</v>
      </c>
      <c r="AK45" s="147">
        <f t="shared" si="37"/>
        <v>924.42836091651623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129267.408</v>
      </c>
      <c r="J65" s="39">
        <f>SUM(J37:J64)</f>
        <v>145882.60793881357</v>
      </c>
      <c r="K65" s="40">
        <f>SUM(K37:K64)</f>
        <v>1</v>
      </c>
      <c r="L65" s="22">
        <f>SUM(L37:L64)</f>
        <v>1.0540663724855879</v>
      </c>
      <c r="M65" s="24">
        <f>SUM(M37:M64)</f>
        <v>1.0605247856438678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49503.010966895956</v>
      </c>
      <c r="AB65" s="137"/>
      <c r="AC65" s="153">
        <f>SUM(AC37:AC64)</f>
        <v>40263.10649019749</v>
      </c>
      <c r="AD65" s="137"/>
      <c r="AE65" s="153">
        <f>SUM(AE37:AE64)</f>
        <v>20000.571381094556</v>
      </c>
      <c r="AF65" s="137"/>
      <c r="AG65" s="153">
        <f>SUM(AG37:AG64)</f>
        <v>36115.91910062555</v>
      </c>
      <c r="AH65" s="137"/>
      <c r="AI65" s="153">
        <f>SUM(AI37:AI64)</f>
        <v>145882.60793881357</v>
      </c>
      <c r="AJ65" s="153">
        <f>SUM(AJ37:AJ64)</f>
        <v>89766.117457093453</v>
      </c>
      <c r="AK65" s="153">
        <f>SUM(AK37:AK64)</f>
        <v>56116.490481720102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105827.0494075282</v>
      </c>
      <c r="J74" s="51">
        <f>J128*I$83</f>
        <v>8423.249022558346</v>
      </c>
      <c r="K74" s="40">
        <f>B74/B$76</f>
        <v>9.5203084875859878E-2</v>
      </c>
      <c r="L74" s="22">
        <f>(L128*G$37*F$9/F$7)/B$130</f>
        <v>9.5786186144187282E-2</v>
      </c>
      <c r="M74" s="24">
        <f>J74/B$76</f>
        <v>6.1234608362775764E-2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1754.8314932317276</v>
      </c>
      <c r="AD74" s="156"/>
      <c r="AE74" s="147">
        <f>AE30*$I$83/4</f>
        <v>3719.9137069367557</v>
      </c>
      <c r="AF74" s="156"/>
      <c r="AG74" s="147">
        <f>AG30*$I$83/4</f>
        <v>2948.5038223898619</v>
      </c>
      <c r="AH74" s="155"/>
      <c r="AI74" s="147">
        <f>SUM(AA74,AC74,AE74,AG74)</f>
        <v>8423.249022558346</v>
      </c>
      <c r="AJ74" s="148">
        <f>(AA74+AC74)</f>
        <v>1754.8314932317276</v>
      </c>
      <c r="AK74" s="147">
        <f>(AE74+AG74)</f>
        <v>6668.417529326618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49409.280323783431</v>
      </c>
      <c r="K75" s="40">
        <f>B75/B$76</f>
        <v>0.38503337506193319</v>
      </c>
      <c r="L75" s="22">
        <f>(L129*G$37*F$9/F$7)/B$130</f>
        <v>0.31818132846814212</v>
      </c>
      <c r="M75" s="24">
        <f>J75/B$76</f>
        <v>0.35919131940783405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43642.921318778004</v>
      </c>
      <c r="AB75" s="158"/>
      <c r="AC75" s="149">
        <f>AA75+AC65-SUM(AC70,AC74)</f>
        <v>76291.106667625805</v>
      </c>
      <c r="AD75" s="158"/>
      <c r="AE75" s="149">
        <f>AC75+AE65-SUM(AE70,AE74)</f>
        <v>86711.674693665656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114019.0003237834</v>
      </c>
      <c r="AJ75" s="151">
        <f>AJ76-SUM(AJ70,AJ74)</f>
        <v>76291.106667625805</v>
      </c>
      <c r="AK75" s="149">
        <f>AJ75+AK76-SUM(AK70,AK74)</f>
        <v>114019.00032378339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129267.408</v>
      </c>
      <c r="J76" s="51">
        <f>J130*I$83</f>
        <v>145882.60793881357</v>
      </c>
      <c r="K76" s="40">
        <f>SUM(K70:K75)</f>
        <v>0.65441235269742726</v>
      </c>
      <c r="L76" s="22">
        <f>SUM(L70:L75)</f>
        <v>0.64627294866855189</v>
      </c>
      <c r="M76" s="24">
        <f>SUM(M70:M75)</f>
        <v>0.65273136182683222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49503.010966895956</v>
      </c>
      <c r="AB76" s="137"/>
      <c r="AC76" s="153">
        <f>AC65</f>
        <v>40263.10649019749</v>
      </c>
      <c r="AD76" s="137"/>
      <c r="AE76" s="153">
        <f>AE65</f>
        <v>20000.571381094556</v>
      </c>
      <c r="AF76" s="137"/>
      <c r="AG76" s="153">
        <f>AG65</f>
        <v>36115.91910062555</v>
      </c>
      <c r="AH76" s="137"/>
      <c r="AI76" s="153">
        <f>SUM(AA76,AC76,AE76,AG76)</f>
        <v>145882.60793881354</v>
      </c>
      <c r="AJ76" s="154">
        <f>SUM(AA76,AC76)</f>
        <v>89766.117457093438</v>
      </c>
      <c r="AK76" s="154">
        <f>SUM(AE76,AG76)</f>
        <v>56116.490481720102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43642.921318778004</v>
      </c>
      <c r="AD78" s="112"/>
      <c r="AE78" s="112">
        <f>AC75</f>
        <v>76291.106667625805</v>
      </c>
      <c r="AF78" s="112"/>
      <c r="AG78" s="112">
        <f>AE75</f>
        <v>86711.674693665656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43642.921318778004</v>
      </c>
      <c r="AB79" s="112"/>
      <c r="AC79" s="112">
        <f>AA79-AA74+AC65-AC70</f>
        <v>78045.938160857535</v>
      </c>
      <c r="AD79" s="112"/>
      <c r="AE79" s="112">
        <f>AC79-AC74+AE65-AE70</f>
        <v>90431.588400602413</v>
      </c>
      <c r="AF79" s="112"/>
      <c r="AG79" s="112">
        <f>AE79-AE74+AG65-AG70</f>
        <v>116967.50414617325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0.40418287342296755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0.40418287342296755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0.20691626455487158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0.20691626455487158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0.28006745278707929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0.28006745278707929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0.19270696292688938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0.19270696292688938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0.13382427981033987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0.13382427981033987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6.6912139905169934E-2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6.6912139905169934E-2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4.6783283891783434</v>
      </c>
      <c r="J119" s="24">
        <f>SUM(J91:J118)</f>
        <v>5.279650584527273</v>
      </c>
      <c r="K119" s="22">
        <f>SUM(K91:K118)</f>
        <v>8.2142573020404246</v>
      </c>
      <c r="L119" s="22">
        <f>SUM(L91:L118)</f>
        <v>5.2474984224393948</v>
      </c>
      <c r="M119" s="57">
        <f t="shared" si="50"/>
        <v>5.279650584527273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3.8299962631432849</v>
      </c>
      <c r="J128" s="228">
        <f>(J30)</f>
        <v>0.30484656295849488</v>
      </c>
      <c r="K128" s="22">
        <f>(B128)</f>
        <v>0.78202263511830628</v>
      </c>
      <c r="L128" s="22">
        <f>IF(L124=L119,0,(L119-L124)/(B119-B124)*K128)</f>
        <v>0.47685598725423867</v>
      </c>
      <c r="M128" s="57">
        <f t="shared" si="90"/>
        <v>0.30484656295849488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1.788175708045658</v>
      </c>
      <c r="K129" s="29">
        <f>(B129)</f>
        <v>3.162763212631754</v>
      </c>
      <c r="L129" s="60">
        <f>IF(SUM(L124:L128)&gt;L130,0,L130-SUM(L124:L128))</f>
        <v>1.5840141216620358</v>
      </c>
      <c r="M129" s="57">
        <f t="shared" si="90"/>
        <v>1.788175708045658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4.6783283891783434</v>
      </c>
      <c r="J130" s="228">
        <f>(J119)</f>
        <v>5.279650584527273</v>
      </c>
      <c r="K130" s="22">
        <f>(B130)</f>
        <v>8.2142573020404246</v>
      </c>
      <c r="L130" s="22">
        <f>(L119)</f>
        <v>5.2474984224393948</v>
      </c>
      <c r="M130" s="57">
        <f t="shared" si="90"/>
        <v>5.279650584527273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7979.8126693691047</v>
      </c>
      <c r="I72" s="109">
        <f>Rich!T7</f>
        <v>6781.8272881017529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44349.697641140665</v>
      </c>
      <c r="I73" s="109">
        <f>Rich!T8</f>
        <v>63689.852219282569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19221.747719530988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26969.056501782536</v>
      </c>
      <c r="G88" s="109">
        <f>Poor!T23</f>
        <v>29675.178415088427</v>
      </c>
      <c r="H88" s="109">
        <f>Middle!T23</f>
        <v>95702.501513046911</v>
      </c>
      <c r="I88" s="109">
        <f>Rich!T23</f>
        <v>158898.54642945246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17895.448955385815</v>
      </c>
      <c r="G98" s="239">
        <f t="shared" si="0"/>
        <v>15189.327042079924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37160.128955385815</v>
      </c>
      <c r="G99" s="239">
        <f t="shared" si="0"/>
        <v>34454.007042079924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73990.288955385826</v>
      </c>
      <c r="G100" s="239">
        <f t="shared" si="0"/>
        <v>71284.167042079935</v>
      </c>
      <c r="H100" s="239">
        <f t="shared" si="0"/>
        <v>5256.8439441214432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2016-06-02T08:43:46Z</dcterms:modified>
  <cp:category/>
</cp:coreProperties>
</file>