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<sst xmlns="http://schemas.openxmlformats.org/spreadsheetml/2006/main" count="790" uniqueCount="145">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</sst>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0.0601901693271333</c:v>
                </c:pt>
                <c:pt idx="2" formatCode="0.0%">
                  <c:v>0.314710547253322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417480"/>
        <c:axId val="1768408280"/>
      </c:barChart>
      <c:catAx>
        <c:axId val="17684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40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4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41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0.0109872416544486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0.177967978786406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385624"/>
        <c:axId val="1832381944"/>
      </c:barChart>
      <c:catAx>
        <c:axId val="183238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3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8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0.00882970781414248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0.016369891400643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117560"/>
        <c:axId val="1832111512"/>
      </c:barChart>
      <c:catAx>
        <c:axId val="18321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1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11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1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61256"/>
        <c:axId val="-2082758232"/>
      </c:barChart>
      <c:catAx>
        <c:axId val="-208276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5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75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7092.305919696371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6685.062321652798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9991.395487613965</c:v>
                </c:pt>
                <c:pt idx="7">
                  <c:v>19918.1562010397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4495.5</c:v>
                </c:pt>
                <c:pt idx="5">
                  <c:v>8075.250000000003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5274.72</c:v>
                </c:pt>
                <c:pt idx="5">
                  <c:v>6260.400000000001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24221.95859405855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41944"/>
        <c:axId val="-20829385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41944"/>
        <c:axId val="-2082938568"/>
      </c:lineChart>
      <c:catAx>
        <c:axId val="-208294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93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3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94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074488"/>
        <c:axId val="-20830711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74488"/>
        <c:axId val="-2083071160"/>
      </c:lineChart>
      <c:catAx>
        <c:axId val="-208307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7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7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153848"/>
        <c:axId val="-20831568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53848"/>
        <c:axId val="-2083156872"/>
      </c:lineChart>
      <c:catAx>
        <c:axId val="-208315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5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5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5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0.0901521888971973</c:v>
                </c:pt>
                <c:pt idx="2">
                  <c:v>0.108575067633335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0.0189475656051597</c:v>
                </c:pt>
                <c:pt idx="2">
                  <c:v>0.0990693132679053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-0.305472469692825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013368"/>
        <c:axId val="1832005704"/>
      </c:barChart>
      <c:catAx>
        <c:axId val="183201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0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00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1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0.183165884065395</c:v>
                </c:pt>
                <c:pt idx="2">
                  <c:v>0.201638148217435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904328"/>
        <c:axId val="1831898216"/>
      </c:barChart>
      <c:catAx>
        <c:axId val="183190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89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89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90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0.594467188355723</c:v>
                </c:pt>
                <c:pt idx="2">
                  <c:v>0.604151098082946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05784"/>
        <c:axId val="1836697752"/>
      </c:barChart>
      <c:catAx>
        <c:axId val="183690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69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69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0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0.41308154965421</c:v>
                </c:pt>
                <c:pt idx="2">
                  <c:v>0.440444213202812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-0.576476502960149</c:v>
                </c:pt>
                <c:pt idx="2">
                  <c:v>-0.576476502960149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614712"/>
        <c:axId val="1836547560"/>
      </c:barChart>
      <c:catAx>
        <c:axId val="18366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4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54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61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0.0093785581293141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0.0026834602739945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0.195179329671075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0.315256596163745</c:v>
                </c:pt>
                <c:pt idx="2" formatCode="0.0%">
                  <c:v>0.117625798587934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06568"/>
        <c:axId val="1834599720"/>
      </c:barChart>
      <c:catAx>
        <c:axId val="183460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59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59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60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336488"/>
        <c:axId val="-2083333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6488"/>
        <c:axId val="-2083333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36488"/>
        <c:axId val="-2083333128"/>
      </c:scatterChart>
      <c:catAx>
        <c:axId val="-2083336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33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3333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36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860568"/>
        <c:axId val="1836326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60568"/>
        <c:axId val="1836326040"/>
      </c:lineChart>
      <c:catAx>
        <c:axId val="1836860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32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632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60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59464"/>
        <c:axId val="183685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42520"/>
        <c:axId val="1836838408"/>
      </c:scatterChart>
      <c:valAx>
        <c:axId val="18368594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51384"/>
        <c:crosses val="autoZero"/>
        <c:crossBetween val="midCat"/>
      </c:valAx>
      <c:valAx>
        <c:axId val="183685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59464"/>
        <c:crosses val="autoZero"/>
        <c:crossBetween val="midCat"/>
      </c:valAx>
      <c:valAx>
        <c:axId val="18368425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36838408"/>
        <c:crosses val="autoZero"/>
        <c:crossBetween val="midCat"/>
      </c:valAx>
      <c:valAx>
        <c:axId val="1836838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425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10936"/>
        <c:axId val="18367021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10936"/>
        <c:axId val="1836702136"/>
      </c:lineChart>
      <c:catAx>
        <c:axId val="183671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02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6702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10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0.109849211731066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0.00314065545704321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0.336284336274343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0.328607460238367</c:v>
                </c:pt>
                <c:pt idx="2" formatCode="0.0%">
                  <c:v>0.0469451929260911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334616"/>
        <c:axId val="1834326040"/>
      </c:barChart>
      <c:catAx>
        <c:axId val="183433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32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32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33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137304"/>
        <c:axId val="1834131320"/>
      </c:barChart>
      <c:catAx>
        <c:axId val="18341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13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13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1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0.00449515212478377</c:v>
                </c:pt>
                <c:pt idx="1">
                  <c:v>0.00338008137459356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0.618215729635483</c:v>
                </c:pt>
                <c:pt idx="1">
                  <c:v>0.464860679953558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0.0421614268255581</c:v>
                </c:pt>
                <c:pt idx="1">
                  <c:v>0.0317028322030844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0.188963584294938</c:v>
                </c:pt>
                <c:pt idx="2">
                  <c:v>0.484859334737755</c:v>
                </c:pt>
                <c:pt idx="3">
                  <c:v>0.585019269980595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758248"/>
        <c:axId val="1832892664"/>
      </c:barChart>
      <c:catAx>
        <c:axId val="1832758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92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89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-0.0276152121817198</c:v>
                </c:pt>
                <c:pt idx="1">
                  <c:v>-0.709060778253498</c:v>
                </c:pt>
                <c:pt idx="2">
                  <c:v>0.0565508596153095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861256"/>
        <c:axId val="1832779928"/>
      </c:barChart>
      <c:catAx>
        <c:axId val="1832861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7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77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6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0.00519699733789382</c:v>
                </c:pt>
                <c:pt idx="1">
                  <c:v>0.00626800411105011</c:v>
                </c:pt>
                <c:pt idx="2">
                  <c:v>0.00382638909889111</c:v>
                </c:pt>
                <c:pt idx="3">
                  <c:v>0.000459076450919624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0.397077836049411</c:v>
                </c:pt>
                <c:pt idx="1">
                  <c:v>0.478908367071293</c:v>
                </c:pt>
                <c:pt idx="2">
                  <c:v>0.292356182711937</c:v>
                </c:pt>
                <c:pt idx="3">
                  <c:v>0.035075847044071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0.0443802067839562</c:v>
                </c:pt>
                <c:pt idx="1">
                  <c:v>0.0535261614514944</c:v>
                </c:pt>
                <c:pt idx="2">
                  <c:v>0.0326757795711098</c:v>
                </c:pt>
                <c:pt idx="3">
                  <c:v>0.00392032292818425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0.136483902501377</c:v>
                </c:pt>
                <c:pt idx="1">
                  <c:v>0.164610756240544</c:v>
                </c:pt>
                <c:pt idx="2">
                  <c:v>0.100488894403982</c:v>
                </c:pt>
                <c:pt idx="3">
                  <c:v>0.0120562974144961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0.00536692054798899</c:v>
                </c:pt>
                <c:pt idx="3">
                  <c:v>0.00536692054798899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0.195179329671075</c:v>
                </c:pt>
                <c:pt idx="1">
                  <c:v>0.195179329671075</c:v>
                </c:pt>
                <c:pt idx="2">
                  <c:v>0.195179329671075</c:v>
                </c:pt>
                <c:pt idx="3">
                  <c:v>0.195179329671075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0.470503194351735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564520"/>
        <c:axId val="1832288232"/>
      </c:barChart>
      <c:catAx>
        <c:axId val="183256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28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28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6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0.0490054593570892</c:v>
                </c:pt>
                <c:pt idx="1">
                  <c:v>0.11055962297889</c:v>
                </c:pt>
                <c:pt idx="2">
                  <c:v>0.0462313726727993</c:v>
                </c:pt>
                <c:pt idx="3">
                  <c:v>0.0346968824756549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0.0895361366298718</c:v>
                </c:pt>
                <c:pt idx="1">
                  <c:v>0.201999565735179</c:v>
                </c:pt>
                <c:pt idx="2">
                  <c:v>0.0844677012423407</c:v>
                </c:pt>
                <c:pt idx="3">
                  <c:v>0.0633934433168705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0.0328891707286299</c:v>
                </c:pt>
                <c:pt idx="1">
                  <c:v>0.0742001883779841</c:v>
                </c:pt>
                <c:pt idx="2">
                  <c:v>0.0310273901888168</c:v>
                </c:pt>
                <c:pt idx="3">
                  <c:v>0.0232862155862628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0.115594449388646</c:v>
                </c:pt>
                <c:pt idx="1">
                  <c:v>0.260788877617414</c:v>
                </c:pt>
                <c:pt idx="2">
                  <c:v>0.109050912667763</c:v>
                </c:pt>
                <c:pt idx="3">
                  <c:v>0.0818432696661517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0.00628131091408641</c:v>
                </c:pt>
                <c:pt idx="3">
                  <c:v>0.00628131091408641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0.336284336274343</c:v>
                </c:pt>
                <c:pt idx="1">
                  <c:v>0.336284336274343</c:v>
                </c:pt>
                <c:pt idx="2">
                  <c:v>0.336284336274343</c:v>
                </c:pt>
                <c:pt idx="3">
                  <c:v>0.336284336274343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0.187780771704364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15016"/>
        <c:axId val="-2082611704"/>
      </c:barChart>
      <c:catAx>
        <c:axId val="-2082615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1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1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1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704296"/>
        <c:axId val="1832695032"/>
      </c:barChart>
      <c:catAx>
        <c:axId val="183270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9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69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0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4495.5</v>
      </c>
      <c r="T12" s="223">
        <f>IF($B$81=0,0,(SUMIF($N$6:$N$28,$U12,M$6:M$28)+SUMIF($N$91:$N$118,$U12,M$91:M$118))*$I$83*Poor!$B$81/$B$81)</f>
        <v>4495.5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5274.72</v>
      </c>
      <c r="T13" s="223">
        <f>IF($B$81=0,0,(SUMIF($N$6:$N$28,$U13,M$6:M$28)+SUMIF($N$91:$N$118,$U13,M$91:M$118))*$I$83*Poor!$B$81/$B$81)</f>
        <v>5274.72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16588.795431798364</v>
      </c>
      <c r="T23" s="179">
        <f>SUM(T7:T22)</f>
        <v>17556.475431798364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16271.271647998536</v>
      </c>
      <c r="T30" s="235">
        <f t="shared" si="24"/>
        <v>15303.591647998535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-2.7615212181719816E-2</v>
      </c>
      <c r="AB30" s="122">
        <f>IF($Y30=0,0,AC30/($Y$30))</f>
        <v>0</v>
      </c>
      <c r="AC30" s="187">
        <f>IF(AC79*4/$I$83+SUM(AC6:AC29)&lt;1,AC79*4/$I$83,1-SUM(AC6:AC29))</f>
        <v>-0.70906077825349789</v>
      </c>
      <c r="AD30" s="122">
        <f>IF($Y30=0,0,AE30/($Y$30))</f>
        <v>0</v>
      </c>
      <c r="AE30" s="187">
        <f>IF(AE79*4/$I$83+SUM(AE6:AE29)&lt;1,AE79*4/$I$83,1-SUM(AE6:AE29))</f>
        <v>5.6550859615309514E-2</v>
      </c>
      <c r="AF30" s="122">
        <f>IF($Y30=0,0,AG30/($Y$30))</f>
        <v>0</v>
      </c>
      <c r="AG30" s="187">
        <f>IF(AG79*4/$I$83+SUM(AG6:AG29)&lt;1,AG79*4/$I$83,1-SUM(AG6:AG29))</f>
        <v>0.68012513081990766</v>
      </c>
      <c r="AH30" s="123">
        <f t="shared" si="12"/>
        <v>0</v>
      </c>
      <c r="AI30" s="183">
        <f t="shared" si="13"/>
        <v>0</v>
      </c>
      <c r="AJ30" s="120">
        <f t="shared" si="14"/>
        <v>-0.36833799521760885</v>
      </c>
      <c r="AK30" s="119">
        <f t="shared" si="15"/>
        <v>0.36833799521760857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0.63165461634917297</v>
      </c>
      <c r="K31" s="22" t="str">
        <f t="shared" si="4"/>
        <v/>
      </c>
      <c r="L31" s="22">
        <f>(1-SUM(L6:L30))</f>
        <v>0.73741338281919</v>
      </c>
      <c r="M31" s="242">
        <f t="shared" si="6"/>
        <v>0.63165461634917297</v>
      </c>
      <c r="N31" s="167">
        <f>M31*I83</f>
        <v>7253.0272380739234</v>
      </c>
      <c r="P31" s="22"/>
      <c r="Q31" s="239" t="s">
        <v>142</v>
      </c>
      <c r="R31" s="235">
        <f t="shared" si="24"/>
        <v>0</v>
      </c>
      <c r="S31" s="235">
        <f t="shared" si="24"/>
        <v>30058.391647998538</v>
      </c>
      <c r="T31" s="235">
        <f>IF(T25&gt;T$23,T25-T$23,0)</f>
        <v>29090.711647998538</v>
      </c>
      <c r="U31" s="243"/>
      <c r="V31" s="56"/>
      <c r="W31" s="129" t="s">
        <v>84</v>
      </c>
      <c r="X31" s="130"/>
      <c r="Y31" s="121">
        <f>M31*4</f>
        <v>2.5266184653966919</v>
      </c>
      <c r="Z31" s="131"/>
      <c r="AA31" s="132">
        <f>1-AA32+IF($Y32&lt;0,$Y32/4,0)</f>
        <v>0.51385828511868847</v>
      </c>
      <c r="AB31" s="131"/>
      <c r="AC31" s="133">
        <f>1-AC32+IF($Y32&lt;0,$Y32/4,0)</f>
        <v>1.3891859090734056</v>
      </c>
      <c r="AD31" s="134"/>
      <c r="AE31" s="133">
        <f>1-AE32+IF($Y32&lt;0,$Y32/4,0)</f>
        <v>0.62357427120459819</v>
      </c>
      <c r="AF31" s="134"/>
      <c r="AG31" s="133">
        <f>1-AG32+IF($Y32&lt;0,$Y32/4,0)</f>
        <v>0</v>
      </c>
      <c r="AH31" s="123"/>
      <c r="AI31" s="182">
        <f>SUM(AA31,AC31,AE31,AG31)/4</f>
        <v>0.63165461634917297</v>
      </c>
      <c r="AJ31" s="135">
        <f t="shared" si="14"/>
        <v>0.95152209709604696</v>
      </c>
      <c r="AK31" s="136">
        <f t="shared" si="15"/>
        <v>0.31178713560229909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0.36834538365082703</v>
      </c>
      <c r="J32" s="17"/>
      <c r="L32" s="22">
        <f>SUM(L6:L30)</f>
        <v>0.26258661718081006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54611.831647998522</v>
      </c>
      <c r="T32" s="235">
        <f t="shared" si="24"/>
        <v>53644.151647998529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0.48614171488131153</v>
      </c>
      <c r="AB32" s="137"/>
      <c r="AC32" s="139">
        <f>SUM(AC6:AC30)</f>
        <v>-0.38918590907340561</v>
      </c>
      <c r="AD32" s="137"/>
      <c r="AE32" s="139">
        <f>SUM(AE6:AE30)</f>
        <v>0.37642572879540181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7.497308683785616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16989.232468591519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12980.25</v>
      </c>
      <c r="J65" s="39">
        <f>SUM(J37:J64)</f>
        <v>12980.25</v>
      </c>
      <c r="K65" s="40">
        <f>SUM(K37:K64)</f>
        <v>1</v>
      </c>
      <c r="L65" s="22">
        <f>SUM(L37:L64)</f>
        <v>0.41308154965420996</v>
      </c>
      <c r="M65" s="24">
        <f>SUM(M37:M64)</f>
        <v>0.44044421320281246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2308.5</v>
      </c>
      <c r="AB65" s="137"/>
      <c r="AC65" s="153">
        <f>SUM(AC37:AC64)</f>
        <v>1209.5999999999997</v>
      </c>
      <c r="AD65" s="137"/>
      <c r="AE65" s="153">
        <f>SUM(AE37:AE64)</f>
        <v>3407.3999999999996</v>
      </c>
      <c r="AF65" s="137"/>
      <c r="AG65" s="153">
        <f>SUM(AG37:AG64)</f>
        <v>6054.7499999999991</v>
      </c>
      <c r="AH65" s="137"/>
      <c r="AI65" s="153">
        <f>SUM(AI37:AI64)</f>
        <v>12980.25</v>
      </c>
      <c r="AJ65" s="153">
        <f>SUM(AJ37:AJ64)</f>
        <v>3518.0999999999995</v>
      </c>
      <c r="AK65" s="153">
        <f>SUM(AK37:AK64)</f>
        <v>9462.15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12980.25</v>
      </c>
      <c r="J70" s="51">
        <f t="shared" ref="J70:J77" si="44">J124*I$83</f>
        <v>12980.25</v>
      </c>
      <c r="K70" s="40">
        <f>B70/B$76</f>
        <v>0.44790597301378055</v>
      </c>
      <c r="L70" s="22">
        <f t="shared" ref="L70:L74" si="45">(L124*G$37*F$9/F$7)/B$130</f>
        <v>0.41308154965421001</v>
      </c>
      <c r="M70" s="24">
        <f>J70/B$76</f>
        <v>0.44044421320281246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3245.0625</v>
      </c>
      <c r="AB70" s="156">
        <f>Poor!AB70</f>
        <v>0.25</v>
      </c>
      <c r="AC70" s="147">
        <f>$J70*AB70</f>
        <v>3245.0625</v>
      </c>
      <c r="AD70" s="156">
        <f>Poor!AD70</f>
        <v>0.25</v>
      </c>
      <c r="AE70" s="147">
        <f>$J70*AD70</f>
        <v>3245.0625</v>
      </c>
      <c r="AF70" s="156">
        <f>Poor!AF70</f>
        <v>0.25</v>
      </c>
      <c r="AG70" s="147">
        <f>$J70*AF70</f>
        <v>3245.0625</v>
      </c>
      <c r="AH70" s="155">
        <f>SUM(Z70,AB70,AD70,AF70)</f>
        <v>1</v>
      </c>
      <c r="AI70" s="147">
        <f>SUM(AA70,AC70,AE70,AG70)</f>
        <v>12980.25</v>
      </c>
      <c r="AJ70" s="148">
        <f>(AA70+AC70)</f>
        <v>6490.125</v>
      </c>
      <c r="AK70" s="147">
        <f>(AE70+AG70)</f>
        <v>6490.125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-79.273498900736286</v>
      </c>
      <c r="AB74" s="156"/>
      <c r="AC74" s="147">
        <f>AC30*$I$83/4</f>
        <v>-2035.4625000000003</v>
      </c>
      <c r="AD74" s="156"/>
      <c r="AE74" s="147">
        <f>AE30*$I$83/4</f>
        <v>162.33749999999964</v>
      </c>
      <c r="AF74" s="156"/>
      <c r="AG74" s="147">
        <f>AG30*$I$83/4</f>
        <v>1952.3984989007354</v>
      </c>
      <c r="AH74" s="155"/>
      <c r="AI74" s="147">
        <f>SUM(AA74,AC74,AE74,AG74)</f>
        <v>0</v>
      </c>
      <c r="AJ74" s="148">
        <f>(AA74+AC74)</f>
        <v>-2114.7359989007364</v>
      </c>
      <c r="AK74" s="147">
        <f>(AE74+AG74)</f>
        <v>2114.735998900735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857.28900109926371</v>
      </c>
      <c r="AH75" s="134"/>
      <c r="AI75" s="149">
        <f>AI76-SUM(AI70,AI74)</f>
        <v>0</v>
      </c>
      <c r="AJ75" s="151">
        <f>AJ76-SUM(AJ70,AJ74)</f>
        <v>-857.28900109926417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12980.25</v>
      </c>
      <c r="J76" s="51">
        <f t="shared" si="44"/>
        <v>12980.25</v>
      </c>
      <c r="K76" s="40">
        <f>SUM(K70:K75)</f>
        <v>1.6042884681600766</v>
      </c>
      <c r="L76" s="22">
        <f>SUM(L70:L75)</f>
        <v>0.41308154965421001</v>
      </c>
      <c r="M76" s="24">
        <f>SUM(M70:M75)</f>
        <v>0.44044421320281246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2308.5</v>
      </c>
      <c r="AB76" s="137"/>
      <c r="AC76" s="153">
        <f>AC65</f>
        <v>1209.5999999999997</v>
      </c>
      <c r="AD76" s="137"/>
      <c r="AE76" s="153">
        <f>AE65</f>
        <v>3407.3999999999996</v>
      </c>
      <c r="AF76" s="137"/>
      <c r="AG76" s="153">
        <f>AG65</f>
        <v>6054.7499999999991</v>
      </c>
      <c r="AH76" s="137"/>
      <c r="AI76" s="153">
        <f>SUM(AA76,AC76,AE76,AG76)</f>
        <v>12980.249999999998</v>
      </c>
      <c r="AJ76" s="154">
        <f>SUM(AA76,AC76)</f>
        <v>3518.0999999999995</v>
      </c>
      <c r="AK76" s="154">
        <f>SUM(AE76,AG76)</f>
        <v>9462.1499999999978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16989.232468591519</v>
      </c>
      <c r="J77" s="100">
        <f t="shared" si="44"/>
        <v>16989.232468591519</v>
      </c>
      <c r="K77" s="40"/>
      <c r="L77" s="22">
        <f>-(L131*G$37*F$9/F$7)/B$130</f>
        <v>-0.57647650296014863</v>
      </c>
      <c r="M77" s="24">
        <f>-J77/B$76</f>
        <v>-0.57647650296014852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1475.1052402724531</v>
      </c>
      <c r="AB77" s="112"/>
      <c r="AC77" s="111">
        <f>AC31*$I$83/4</f>
        <v>3987.8609989007355</v>
      </c>
      <c r="AD77" s="112"/>
      <c r="AE77" s="111">
        <f>AE31*$I$83/4</f>
        <v>1790.0609989007357</v>
      </c>
      <c r="AF77" s="112"/>
      <c r="AG77" s="111">
        <f>AG31*$I$83/4</f>
        <v>0</v>
      </c>
      <c r="AH77" s="110"/>
      <c r="AI77" s="154">
        <f>SUM(AA77,AC77,AE77,AG77)</f>
        <v>7253.0272380739243</v>
      </c>
      <c r="AJ77" s="153">
        <f>SUM(AA77,AC77)</f>
        <v>5462.966239173189</v>
      </c>
      <c r="AK77" s="160">
        <f>SUM(AE77,AG77)</f>
        <v>1790.0609989007357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857.28900109926371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-79.273498900736286</v>
      </c>
      <c r="AB79" s="112"/>
      <c r="AC79" s="112">
        <f>AA79-AA74+AC65-AC70</f>
        <v>-2035.4625000000003</v>
      </c>
      <c r="AD79" s="112"/>
      <c r="AE79" s="112">
        <f>AC79-AC74+AE65-AE70</f>
        <v>162.33749999999964</v>
      </c>
      <c r="AF79" s="112"/>
      <c r="AG79" s="112">
        <f>AE79-AE74+AG65-AG70</f>
        <v>2809.6874999999991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1.1304293455326448</v>
      </c>
      <c r="J119" s="24">
        <f>SUM(J91:J118)</f>
        <v>1.1304293455326448</v>
      </c>
      <c r="K119" s="22">
        <f>SUM(K91:K118)</f>
        <v>4.2348346605929557</v>
      </c>
      <c r="L119" s="22">
        <f>SUM(L91:L118)</f>
        <v>1.0602012509861205</v>
      </c>
      <c r="M119" s="57">
        <f t="shared" si="49"/>
        <v>1.1304293455326448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1.1304293455326448</v>
      </c>
      <c r="J124" s="238">
        <f>IF(SUMPRODUCT($B$124:$B124,$H$124:$H124)&lt;J$119,($B124*$H124),J$119)</f>
        <v>1.1304293455326448</v>
      </c>
      <c r="K124" s="29">
        <f>(B124)</f>
        <v>1.896807739205371</v>
      </c>
      <c r="L124" s="29">
        <f>IF(SUMPRODUCT($B$124:$B124,$H$124:$H124)&lt;L$119,($B124*$H124),L$119)</f>
        <v>1.0602012509861205</v>
      </c>
      <c r="M124" s="241">
        <f t="shared" si="66"/>
        <v>1.1304293455326448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1.1304293455326448</v>
      </c>
      <c r="J130" s="229">
        <f>(J119)</f>
        <v>1.1304293455326448</v>
      </c>
      <c r="K130" s="29">
        <f>(B130)</f>
        <v>4.2348346605929557</v>
      </c>
      <c r="L130" s="29">
        <f>(L119)</f>
        <v>1.0602012509861205</v>
      </c>
      <c r="M130" s="241">
        <f t="shared" si="66"/>
        <v>1.1304293455326448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1.4795652580321546</v>
      </c>
      <c r="J131" s="238">
        <f>IF(SUMPRODUCT($B124:$B125,$H124:$H125)&gt;(J119-J128),SUMPRODUCT($B124:$B125,$H124:$H125)+J128-J119,0)</f>
        <v>1.4795652580321546</v>
      </c>
      <c r="K131" s="29"/>
      <c r="L131" s="29">
        <f>IF(I131&lt;SUM(L126:L127),0,I131-(SUM(L126:L127)))</f>
        <v>1.4795652580321546</v>
      </c>
      <c r="M131" s="238">
        <f>IF(I131&lt;SUM(M126:M127),0,I131-(SUM(M126:M127)))</f>
        <v>1.4795652580321546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0.57079604371593395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4.4951521247837732E-3</v>
      </c>
      <c r="AB8" s="125">
        <f>IF($Y8=0,0,AC8/$Y8)</f>
        <v>0.42920395628406599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3.380081374593562E-3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0.57079604371593395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0.61821572963548321</v>
      </c>
      <c r="AB9" s="125">
        <f>IF($Y9=0,0,AC9/$Y9)</f>
        <v>0.42920395628406605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0.46486067995355806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0.57079604371593395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4.2161426825558145E-2</v>
      </c>
      <c r="AB11" s="125">
        <f>IF($Y11=0,0,AC11/$Y11)</f>
        <v>0.42920395628406605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3.1702832203084445E-2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8075.2500000000027</v>
      </c>
      <c r="T12" s="223">
        <f>IF($B$81=0,0,(SUMIF($N$6:$N$28,$U12,M$6:M$28)+SUMIF($N$91:$N$118,$U12,M$91:M$118))*$I$83*Poor!$B$81/$B$81)</f>
        <v>8075.2500000000027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6260.4000000000005</v>
      </c>
      <c r="T13" s="223">
        <f>IF($B$81=0,0,(SUMIF($N$6:$N$28,$U13,M$6:M$28)+SUMIF($N$91:$N$118,$U13,M$91:M$118))*$I$83*Poor!$B$81/$B$81)</f>
        <v>6260.4000000000005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31540.14973604574</v>
      </c>
      <c r="T23" s="179">
        <f>SUM(T7:T22)</f>
        <v>32346.549736045741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0.34490719503173262</v>
      </c>
      <c r="J30" s="232">
        <f>IF(I$32&lt;=1,I30,1-SUM(J6:J29))</f>
        <v>0.31471054725332204</v>
      </c>
      <c r="K30" s="22">
        <f t="shared" si="4"/>
        <v>0.71967685554171867</v>
      </c>
      <c r="L30" s="22">
        <f>IF(L124=L119,0,IF(K30="",0,(L119-L124)/(B119-B124)*K30))</f>
        <v>6.019016932713335E-2</v>
      </c>
      <c r="M30" s="175">
        <f t="shared" si="6"/>
        <v>0.31471054725332204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390.31734375115775</v>
      </c>
      <c r="T30" s="235">
        <f t="shared" si="50"/>
        <v>0</v>
      </c>
      <c r="U30" s="56"/>
      <c r="V30" s="56"/>
      <c r="W30" s="110"/>
      <c r="X30" s="118"/>
      <c r="Y30" s="183">
        <f>M30*4</f>
        <v>1.2588421890132881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0.15010903347865401</v>
      </c>
      <c r="AC30" s="187">
        <f>IF(AC79*4/$I$83+SUM(AC6:AC29)&lt;1,AC79*4/$I$83,1-SUM(AC6:AC29))</f>
        <v>0.18896358429493776</v>
      </c>
      <c r="AD30" s="122">
        <f>IF($Y30=0,0,AE30/($Y$30))</f>
        <v>0.38516292111070749</v>
      </c>
      <c r="AE30" s="187">
        <f>IF(AE79*4/$I$83+SUM(AE6:AE29)&lt;1,AE79*4/$I$83,1-SUM(AE6:AE29))</f>
        <v>0.48485933473775544</v>
      </c>
      <c r="AF30" s="122">
        <f>IF($Y30=0,0,AG30/($Y$30))</f>
        <v>0.46472804541063834</v>
      </c>
      <c r="AG30" s="187">
        <f>IF(AG79*4/$I$83+SUM(AG6:AG29)&lt;1,AG79*4/$I$83,1-SUM(AG6:AG29))</f>
        <v>0.58501926998059472</v>
      </c>
      <c r="AH30" s="123">
        <f t="shared" si="12"/>
        <v>0.99999999999999978</v>
      </c>
      <c r="AI30" s="183">
        <f t="shared" si="13"/>
        <v>0.31471054725332198</v>
      </c>
      <c r="AJ30" s="120">
        <f t="shared" si="14"/>
        <v>9.4481792147468879E-2</v>
      </c>
      <c r="AK30" s="119">
        <f t="shared" si="15"/>
        <v>0.53493930235917508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0.33749419296407601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14177.437343751164</v>
      </c>
      <c r="T31" s="235">
        <f>IF(T25&gt;T$23,T25-T$23,0)</f>
        <v>13371.037343751163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1.0301966477784106</v>
      </c>
      <c r="J32" s="17"/>
      <c r="L32" s="22">
        <f>SUM(L6:L30)</f>
        <v>0.66250580703592399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38730.877343751155</v>
      </c>
      <c r="T32" s="235">
        <f t="shared" si="50"/>
        <v>37924.477343751161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1.5513757739754106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13371.037343751166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0.12766510414685608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361.54757494389645</v>
      </c>
      <c r="AD37" s="122">
        <f>IF($J37=0,0,AE37/($J37))</f>
        <v>0.52309385160175892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1481.4017877361816</v>
      </c>
      <c r="AF37" s="122">
        <f t="shared" ref="AF37:AF64" si="57">1-SUM(Z37,AB37,AD37)</f>
        <v>0.34924104425138502</v>
      </c>
      <c r="AG37" s="147">
        <f>$J37*AF37</f>
        <v>989.05063731992254</v>
      </c>
      <c r="AH37" s="123">
        <f>SUM(Z37,AB37,AD37,AF37)</f>
        <v>1</v>
      </c>
      <c r="AI37" s="112">
        <f>SUM(AA37,AC37,AE37,AG37)</f>
        <v>2832.0000000000009</v>
      </c>
      <c r="AJ37" s="148">
        <f>(AA37+AC37)</f>
        <v>361.54757494389645</v>
      </c>
      <c r="AK37" s="147">
        <f>(AE37+AG37)</f>
        <v>2470.4524250561044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3.8034577179571379E-2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22.619923740234693</v>
      </c>
      <c r="AD38" s="122">
        <f>IF($J38=0,0,AE38/($J38))</f>
        <v>0.15584253507536358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92.682672460020228</v>
      </c>
      <c r="AF38" s="122">
        <f t="shared" si="57"/>
        <v>0.80612288774506502</v>
      </c>
      <c r="AG38" s="147">
        <f t="shared" ref="AG38:AG64" si="60">$J38*AF38</f>
        <v>479.4174037997451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22.619923740234693</v>
      </c>
      <c r="AK38" s="147">
        <f t="shared" ref="AK38:AK64" si="63">(AE38+AG38)</f>
        <v>572.10007625976527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0.57079604371593395</v>
      </c>
      <c r="AA39" s="147">
        <f t="shared" ref="AA39:AA64" si="64">$J39*Z39</f>
        <v>0</v>
      </c>
      <c r="AB39" s="122">
        <f>AB8</f>
        <v>0.42920395628406599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0.57079604371593395</v>
      </c>
      <c r="AA40" s="147">
        <f t="shared" si="64"/>
        <v>0</v>
      </c>
      <c r="AB40" s="122">
        <f>AB9</f>
        <v>0.42920395628406605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0.57079604371593395</v>
      </c>
      <c r="AA41" s="147">
        <f t="shared" si="64"/>
        <v>4609.3207520170963</v>
      </c>
      <c r="AB41" s="122">
        <f>AB11</f>
        <v>0.42920395628406605</v>
      </c>
      <c r="AC41" s="147">
        <f t="shared" si="65"/>
        <v>3465.9292479829051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25999.170000000006</v>
      </c>
      <c r="J65" s="39">
        <f>SUM(J37:J64)</f>
        <v>25999.170000000006</v>
      </c>
      <c r="K65" s="40">
        <f>SUM(K37:K64)</f>
        <v>1</v>
      </c>
      <c r="L65" s="22">
        <f>SUM(L37:L64)</f>
        <v>0.57554978514062893</v>
      </c>
      <c r="M65" s="24">
        <f>SUM(M37:M64)</f>
        <v>0.59397266387676662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8233.6207520170974</v>
      </c>
      <c r="AB65" s="137"/>
      <c r="AC65" s="153">
        <f>SUM(AC37:AC64)</f>
        <v>5909.296746667037</v>
      </c>
      <c r="AD65" s="137"/>
      <c r="AE65" s="153">
        <f>SUM(AE37:AE64)</f>
        <v>6763.4844601962031</v>
      </c>
      <c r="AF65" s="137"/>
      <c r="AG65" s="153">
        <f>SUM(AG37:AG64)</f>
        <v>5092.7680411196689</v>
      </c>
      <c r="AH65" s="137"/>
      <c r="AI65" s="153">
        <f>SUM(AI37:AI64)</f>
        <v>25999.170000000006</v>
      </c>
      <c r="AJ65" s="153">
        <f>SUM(AJ37:AJ64)</f>
        <v>14142.917498684135</v>
      </c>
      <c r="AK65" s="153">
        <f>SUM(AK37:AK64)</f>
        <v>11856.25250131587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4752.5110376901757</v>
      </c>
      <c r="J71" s="51">
        <f t="shared" si="75"/>
        <v>4752.5110376901757</v>
      </c>
      <c r="K71" s="40">
        <f t="shared" ref="K71:K72" si="78">B71/B$76</f>
        <v>0.26693069835445282</v>
      </c>
      <c r="L71" s="22">
        <f t="shared" si="76"/>
        <v>9.0152188897197311E-2</v>
      </c>
      <c r="M71" s="24">
        <f t="shared" ref="M71:M72" si="79">J71/B$76</f>
        <v>0.1085750676333348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4752.5110376901757</v>
      </c>
      <c r="J74" s="51">
        <f t="shared" si="75"/>
        <v>4336.4283814413393</v>
      </c>
      <c r="K74" s="40">
        <f>B74/B$76</f>
        <v>0.13730344891392171</v>
      </c>
      <c r="L74" s="22">
        <f t="shared" si="76"/>
        <v>1.8947565605159731E-2</v>
      </c>
      <c r="M74" s="24">
        <f>J74/B$76</f>
        <v>9.9069313267905357E-2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650.93707308756336</v>
      </c>
      <c r="AD74" s="156"/>
      <c r="AE74" s="147">
        <f>AE30*$I$83/4</f>
        <v>1670.2314225833236</v>
      </c>
      <c r="AF74" s="156"/>
      <c r="AG74" s="147">
        <f>AG30*$I$83/4</f>
        <v>2015.2598857704515</v>
      </c>
      <c r="AH74" s="155"/>
      <c r="AI74" s="147">
        <f>SUM(AA74,AC74,AE74,AG74)</f>
        <v>4336.4283814413384</v>
      </c>
      <c r="AJ74" s="148">
        <f>(AA74+AC74)</f>
        <v>650.93707308756336</v>
      </c>
      <c r="AK74" s="147">
        <f>(AE74+AG74)</f>
        <v>3685.4913083537749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2921.9560114396409</v>
      </c>
      <c r="AB75" s="158"/>
      <c r="AC75" s="149">
        <f>AA75+AC65-SUM(AC70,AC74)</f>
        <v>2868.6509444416588</v>
      </c>
      <c r="AD75" s="158"/>
      <c r="AE75" s="149">
        <f>AC75+AE65-SUM(AE70,AE74)</f>
        <v>2650.239241477082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416.08265624884007</v>
      </c>
      <c r="AJ75" s="151">
        <f>AJ76-SUM(AJ70,AJ74)</f>
        <v>2868.6509444416588</v>
      </c>
      <c r="AK75" s="149">
        <f>AJ75+AK76-SUM(AK70,AK74)</f>
        <v>416.08265624884189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25999.170000000002</v>
      </c>
      <c r="J76" s="51">
        <f t="shared" si="75"/>
        <v>25999.170000000002</v>
      </c>
      <c r="K76" s="40">
        <f>SUM(K70:K75)</f>
        <v>1.2884634458051556</v>
      </c>
      <c r="L76" s="22">
        <f>SUM(L70:L75)</f>
        <v>0.59449735074578869</v>
      </c>
      <c r="M76" s="24">
        <f>SUM(M70:M75)</f>
        <v>0.69304197714467175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8233.6207520170974</v>
      </c>
      <c r="AB76" s="137"/>
      <c r="AC76" s="153">
        <f>AC65</f>
        <v>5909.296746667037</v>
      </c>
      <c r="AD76" s="137"/>
      <c r="AE76" s="153">
        <f>AE65</f>
        <v>6763.4844601962031</v>
      </c>
      <c r="AF76" s="137"/>
      <c r="AG76" s="153">
        <f>AG65</f>
        <v>5092.7680411196689</v>
      </c>
      <c r="AH76" s="137"/>
      <c r="AI76" s="153">
        <f>SUM(AA76,AC76,AE76,AG76)</f>
        <v>25999.170000000006</v>
      </c>
      <c r="AJ76" s="154">
        <f>SUM(AA76,AC76)</f>
        <v>14142.917498684135</v>
      </c>
      <c r="AK76" s="154">
        <f>SUM(AE76,AG76)</f>
        <v>11856.252501315872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13371.037343751166</v>
      </c>
      <c r="K77" s="40"/>
      <c r="L77" s="22">
        <f>-(L131*G$37*F$9/F$7)/B$130</f>
        <v>-0.31497822405825432</v>
      </c>
      <c r="M77" s="24">
        <f>-J77/B$76</f>
        <v>-0.30547246969282493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2921.9560114396409</v>
      </c>
      <c r="AD78" s="112"/>
      <c r="AE78" s="112">
        <f>AC75</f>
        <v>2868.6509444416588</v>
      </c>
      <c r="AF78" s="112"/>
      <c r="AG78" s="112">
        <f>AE75</f>
        <v>2650.239241477082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2921.9560114396409</v>
      </c>
      <c r="AB79" s="112"/>
      <c r="AC79" s="112">
        <f>AA79-AA74+AC65-AC70</f>
        <v>3519.5880175292223</v>
      </c>
      <c r="AD79" s="112"/>
      <c r="AE79" s="112">
        <f>AC79-AC74+AE65-AE70</f>
        <v>4320.4706640604054</v>
      </c>
      <c r="AF79" s="112"/>
      <c r="AG79" s="112">
        <f>AE79-AE74+AG65-AG70</f>
        <v>2431.3425420192943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1.8868553332621985</v>
      </c>
      <c r="J119" s="24">
        <f>SUM(J91:J118)</f>
        <v>1.8868553332621985</v>
      </c>
      <c r="K119" s="22">
        <f>SUM(K91:K118)</f>
        <v>5.2415060308710721</v>
      </c>
      <c r="L119" s="22">
        <f>SUM(L91:L118)</f>
        <v>1.8283319211400948</v>
      </c>
      <c r="M119" s="57">
        <f t="shared" si="80"/>
        <v>1.8868553332621985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0.34490719503173262</v>
      </c>
      <c r="J125" s="238">
        <f>IF(SUMPRODUCT($B$124:$B125,$H$124:$H125)&lt;J$119,($B125*$H125),IF(SUMPRODUCT($B$124:$B124,$H$124:$H124)&lt;J$119,J$119-SUMPRODUCT($B$124:$B124,$H$124:$H124),0))</f>
        <v>0.34490719503173262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0.28638378290962896</v>
      </c>
      <c r="M125" s="241">
        <f t="shared" si="93"/>
        <v>0.34490719503173262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0.34490719503173262</v>
      </c>
      <c r="J128" s="229">
        <f>(J30)</f>
        <v>0.31471054725332204</v>
      </c>
      <c r="K128" s="29">
        <f>(B128)</f>
        <v>0.71967685554171867</v>
      </c>
      <c r="L128" s="29">
        <f>IF(L124=L119,0,(L119-L124)/(B119-B124)*K128)</f>
        <v>6.019016932713335E-2</v>
      </c>
      <c r="M128" s="241">
        <f t="shared" si="93"/>
        <v>0.31471054725332204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1.8868553332621985</v>
      </c>
      <c r="J130" s="229">
        <f>(J119)</f>
        <v>1.8868553332621985</v>
      </c>
      <c r="K130" s="29">
        <f>(B130)</f>
        <v>5.2415060308710721</v>
      </c>
      <c r="L130" s="29">
        <f>(L119)</f>
        <v>1.8283319211400948</v>
      </c>
      <c r="M130" s="241">
        <f t="shared" si="93"/>
        <v>1.8868553332621985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0.9703853285818318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0.32995830144621946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5.196997337893825E-3</v>
      </c>
      <c r="AB8" s="125">
        <f>IF($Y8=0,0,AC8/$Y8)</f>
        <v>0.39795671528632781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6.2680041110501142E-3</v>
      </c>
      <c r="AD8" s="125">
        <f>IF($Y8=0,0,AE8/$Y8)</f>
        <v>0.24293813632279257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3.8263890988911075E-3</v>
      </c>
      <c r="AF8" s="122">
        <f t="shared" si="10"/>
        <v>2.9146846944660187E-2</v>
      </c>
      <c r="AG8" s="121">
        <f t="shared" si="11"/>
        <v>4.5907645091962368E-4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5.73250072447197E-3</v>
      </c>
      <c r="AK8" s="119">
        <f t="shared" si="15"/>
        <v>2.1427327749053656E-3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0.32995830144621952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0.3970778360494111</v>
      </c>
      <c r="AB9" s="125">
        <f>IF($Y9=0,0,AC9/$Y9)</f>
        <v>0.39795671528632776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0.47890836707129353</v>
      </c>
      <c r="AD9" s="125">
        <f>IF($Y9=0,0,AE9/$Y9)</f>
        <v>0.24293813632279257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0.29235618271193692</v>
      </c>
      <c r="AF9" s="122">
        <f t="shared" si="10"/>
        <v>2.9146846944660187E-2</v>
      </c>
      <c r="AG9" s="121">
        <f t="shared" si="11"/>
        <v>3.5075847044070969E-2</v>
      </c>
      <c r="AH9" s="123">
        <f t="shared" si="12"/>
        <v>1</v>
      </c>
      <c r="AI9" s="183">
        <f t="shared" si="13"/>
        <v>0.30085455821917817</v>
      </c>
      <c r="AJ9" s="120">
        <f t="shared" si="14"/>
        <v>0.43799310156035232</v>
      </c>
      <c r="AK9" s="119">
        <f t="shared" si="15"/>
        <v>0.16371601487800394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0.32995830144621952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4.4380206783956211E-2</v>
      </c>
      <c r="AB10" s="125">
        <f>IF($Y10=0,0,AC10/$Y10)</f>
        <v>0.39795671528632776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5.3526161451494428E-2</v>
      </c>
      <c r="AD10" s="125">
        <f>IF($Y10=0,0,AE10/$Y10)</f>
        <v>0.24293813632279254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3.2675779571109821E-2</v>
      </c>
      <c r="AF10" s="122">
        <f t="shared" si="10"/>
        <v>2.9146846944660298E-2</v>
      </c>
      <c r="AG10" s="121">
        <f t="shared" si="11"/>
        <v>3.9203229281842547E-3</v>
      </c>
      <c r="AH10" s="123">
        <f t="shared" si="12"/>
        <v>1</v>
      </c>
      <c r="AI10" s="183">
        <f t="shared" si="13"/>
        <v>3.3625617683686181E-2</v>
      </c>
      <c r="AJ10" s="120">
        <f t="shared" si="14"/>
        <v>4.8953184117725319E-2</v>
      </c>
      <c r="AK10" s="119">
        <f t="shared" si="15"/>
        <v>1.8298051249647038E-2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9991.3954876139651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0.32995830144621952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0.13648390250137715</v>
      </c>
      <c r="AB11" s="125">
        <f>IF($Y11=0,0,AC11/$Y11)</f>
        <v>0.39795671528632776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0.16461075624054367</v>
      </c>
      <c r="AD11" s="125">
        <f>IF($Y11=0,0,AE11/$Y11)</f>
        <v>0.24293813632279254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0.10048889440398162</v>
      </c>
      <c r="AF11" s="122">
        <f t="shared" si="10"/>
        <v>2.9146846944660298E-2</v>
      </c>
      <c r="AG11" s="121">
        <f t="shared" si="11"/>
        <v>1.2056297414496093E-2</v>
      </c>
      <c r="AH11" s="123">
        <f t="shared" si="12"/>
        <v>1</v>
      </c>
      <c r="AI11" s="183">
        <f t="shared" si="13"/>
        <v>0.10340996264009963</v>
      </c>
      <c r="AJ11" s="120">
        <f t="shared" si="14"/>
        <v>0.15054732937096041</v>
      </c>
      <c r="AK11" s="119">
        <f t="shared" si="15"/>
        <v>5.6272595909238859E-2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832.50000000000011</v>
      </c>
      <c r="T12" s="223">
        <f>IF($B$81=0,0,(SUMIF($N$6:$N$28,$U12,M$6:M$28)+SUMIF($N$91:$N$118,$U12,M$91:M$118))*$I$83*Poor!$B$81/$B$81)</f>
        <v>832.50000000000011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75331.199999999997</v>
      </c>
      <c r="T13" s="223">
        <f>IF($B$81=0,0,(SUMIF($N$6:$N$28,$U13,M$6:M$28)+SUMIF($N$91:$N$118,$U13,M$91:M$118))*$I$83*Poor!$B$81/$B$81)</f>
        <v>75331.199999999997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24221.958594058553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125666.10369962998</v>
      </c>
      <c r="T23" s="179">
        <f>SUM(T7:T22)</f>
        <v>125457.05778130249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9.378558129314098E-3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9.378558129314098E-3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3.7514232517256392E-2</v>
      </c>
      <c r="Z27" s="156">
        <f>Poor!Z27</f>
        <v>0.25</v>
      </c>
      <c r="AA27" s="121">
        <f t="shared" si="16"/>
        <v>9.378558129314098E-3</v>
      </c>
      <c r="AB27" s="156">
        <f>Poor!AB27</f>
        <v>0.25</v>
      </c>
      <c r="AC27" s="121">
        <f t="shared" si="7"/>
        <v>9.378558129314098E-3</v>
      </c>
      <c r="AD27" s="156">
        <f>Poor!AD27</f>
        <v>0.25</v>
      </c>
      <c r="AE27" s="121">
        <f t="shared" si="8"/>
        <v>9.378558129314098E-3</v>
      </c>
      <c r="AF27" s="122">
        <f t="shared" si="10"/>
        <v>0.25</v>
      </c>
      <c r="AG27" s="121">
        <f t="shared" si="11"/>
        <v>9.378558129314098E-3</v>
      </c>
      <c r="AH27" s="123">
        <f t="shared" si="12"/>
        <v>1</v>
      </c>
      <c r="AI27" s="183">
        <f t="shared" si="13"/>
        <v>9.378558129314098E-3</v>
      </c>
      <c r="AJ27" s="120">
        <f t="shared" si="14"/>
        <v>9.378558129314098E-3</v>
      </c>
      <c r="AK27" s="119">
        <f t="shared" si="15"/>
        <v>9.378558129314098E-3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2.6834602739944963E-3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2.6834602739944963E-3</v>
      </c>
      <c r="N28" s="230"/>
      <c r="O28" s="2"/>
      <c r="P28" s="22"/>
      <c r="U28" s="56"/>
      <c r="V28" s="56"/>
      <c r="W28" s="110"/>
      <c r="X28" s="118"/>
      <c r="Y28" s="183">
        <f t="shared" si="9"/>
        <v>1.0733841095977985E-2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5.3669205479889926E-3</v>
      </c>
      <c r="AF28" s="122">
        <f t="shared" si="10"/>
        <v>0.5</v>
      </c>
      <c r="AG28" s="121">
        <f t="shared" si="11"/>
        <v>5.3669205479889926E-3</v>
      </c>
      <c r="AH28" s="123">
        <f t="shared" si="12"/>
        <v>1</v>
      </c>
      <c r="AI28" s="183">
        <f t="shared" si="13"/>
        <v>2.6834602739944963E-3</v>
      </c>
      <c r="AJ28" s="120">
        <f t="shared" si="14"/>
        <v>0</v>
      </c>
      <c r="AK28" s="119">
        <f t="shared" si="15"/>
        <v>5.3669205479889926E-3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0.1951793296710754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0.1951793296710754</v>
      </c>
      <c r="N29" s="230"/>
      <c r="P29" s="22"/>
      <c r="V29" s="56"/>
      <c r="W29" s="110"/>
      <c r="X29" s="118"/>
      <c r="Y29" s="183">
        <f t="shared" si="9"/>
        <v>0.78071731868430161</v>
      </c>
      <c r="Z29" s="156">
        <f>Poor!Z29</f>
        <v>0.25</v>
      </c>
      <c r="AA29" s="121">
        <f t="shared" si="16"/>
        <v>0.1951793296710754</v>
      </c>
      <c r="AB29" s="156">
        <f>Poor!AB29</f>
        <v>0.25</v>
      </c>
      <c r="AC29" s="121">
        <f t="shared" si="7"/>
        <v>0.1951793296710754</v>
      </c>
      <c r="AD29" s="156">
        <f>Poor!AD29</f>
        <v>0.25</v>
      </c>
      <c r="AE29" s="121">
        <f t="shared" si="8"/>
        <v>0.1951793296710754</v>
      </c>
      <c r="AF29" s="122">
        <f t="shared" si="10"/>
        <v>0.25</v>
      </c>
      <c r="AG29" s="121">
        <f t="shared" si="11"/>
        <v>0.1951793296710754</v>
      </c>
      <c r="AH29" s="123">
        <f t="shared" si="12"/>
        <v>1</v>
      </c>
      <c r="AI29" s="183">
        <f t="shared" si="13"/>
        <v>0.1951793296710754</v>
      </c>
      <c r="AJ29" s="120">
        <f t="shared" si="14"/>
        <v>0.1951793296710754</v>
      </c>
      <c r="AK29" s="119">
        <f t="shared" si="15"/>
        <v>0.1951793296710754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7.2807015382006997</v>
      </c>
      <c r="J30" s="232">
        <f>IF(I$32&lt;=1,I30,1-SUM(J6:J29))</f>
        <v>0.11762579858793387</v>
      </c>
      <c r="K30" s="22">
        <f t="shared" si="4"/>
        <v>0.66149354420921547</v>
      </c>
      <c r="L30" s="22">
        <f>IF(L124=L119,0,IF(K30="",0,(L119-L124)/(B119-B124)*K30))</f>
        <v>0.31525659616374524</v>
      </c>
      <c r="M30" s="175">
        <f t="shared" si="6"/>
        <v>0.11762579858793387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0.47050319435173549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-4.7193006889351051E-16</v>
      </c>
      <c r="AE30" s="187">
        <f>IF(AE79*4/$I$84+SUM(AE6:AE29)&lt;1,AE79*4/$I$84,1-SUM(AE6:AE29))</f>
        <v>-2.2204460492503131E-16</v>
      </c>
      <c r="AF30" s="122">
        <f>IF($Y30=0,0,AG30/($Y$30))</f>
        <v>1</v>
      </c>
      <c r="AG30" s="187">
        <f>IF(AG79*4/$I$84+SUM(AG6:AG29)&lt;1,AG79*4/$I$84,1-SUM(AG6:AG29))</f>
        <v>0.47050319435173549</v>
      </c>
      <c r="AH30" s="123">
        <f t="shared" si="12"/>
        <v>0.99999999999999956</v>
      </c>
      <c r="AI30" s="183">
        <f t="shared" si="13"/>
        <v>0.11762579858793382</v>
      </c>
      <c r="AJ30" s="120">
        <f t="shared" si="14"/>
        <v>0</v>
      </c>
      <c r="AK30" s="119">
        <f t="shared" si="15"/>
        <v>0.23525159717586763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-0.19829561388498895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8.1804711654803786</v>
      </c>
      <c r="J32" s="17"/>
      <c r="L32" s="22">
        <f>SUM(L6:L30)</f>
        <v>1.198295613884989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-3.9736526446069759E-2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1495.3954876139642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1.0987241654448577E-2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1495.3954876139642</v>
      </c>
      <c r="AH38" s="123">
        <f t="shared" ref="AH38:AI58" si="37">SUM(Z38,AB38,AD38,AF38)</f>
        <v>1</v>
      </c>
      <c r="AI38" s="112">
        <f t="shared" si="37"/>
        <v>1495.3954876139642</v>
      </c>
      <c r="AJ38" s="148">
        <f t="shared" ref="AJ38:AJ64" si="38">(AA38+AC38)</f>
        <v>0</v>
      </c>
      <c r="AK38" s="147">
        <f t="shared" ref="AK38:AK64" si="39">(AE38+AG38)</f>
        <v>1495.3954876139642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0.32995830144621946</v>
      </c>
      <c r="AA39" s="147">
        <f t="shared" ref="AA39:AA64" si="40">$J39*Z39</f>
        <v>0</v>
      </c>
      <c r="AB39" s="122">
        <f>AB8</f>
        <v>0.39795671528632781</v>
      </c>
      <c r="AC39" s="147">
        <f t="shared" ref="AC39:AC64" si="41">$J39*AB39</f>
        <v>0</v>
      </c>
      <c r="AD39" s="122">
        <f>AD8</f>
        <v>0.24293813632279257</v>
      </c>
      <c r="AE39" s="147">
        <f t="shared" ref="AE39:AE64" si="42">$J39*AD39</f>
        <v>0</v>
      </c>
      <c r="AF39" s="122">
        <f t="shared" si="29"/>
        <v>2.9146846944660187E-2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0.32995830144621952</v>
      </c>
      <c r="AA40" s="147">
        <f t="shared" si="40"/>
        <v>0</v>
      </c>
      <c r="AB40" s="122">
        <f>AB9</f>
        <v>0.39795671528632776</v>
      </c>
      <c r="AC40" s="147">
        <f t="shared" si="41"/>
        <v>0</v>
      </c>
      <c r="AD40" s="122">
        <f>AD9</f>
        <v>0.24293813632279257</v>
      </c>
      <c r="AE40" s="147">
        <f t="shared" si="42"/>
        <v>0</v>
      </c>
      <c r="AF40" s="122">
        <f t="shared" si="29"/>
        <v>2.9146846944660187E-2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0.32995830144621952</v>
      </c>
      <c r="AA41" s="147">
        <f t="shared" si="40"/>
        <v>274.69028595397776</v>
      </c>
      <c r="AB41" s="122">
        <f>AB11</f>
        <v>0.39795671528632776</v>
      </c>
      <c r="AC41" s="147">
        <f t="shared" si="41"/>
        <v>331.29896547586787</v>
      </c>
      <c r="AD41" s="122">
        <f>AD11</f>
        <v>0.24293813632279254</v>
      </c>
      <c r="AE41" s="147">
        <f t="shared" si="42"/>
        <v>202.24599848872481</v>
      </c>
      <c r="AF41" s="122">
        <f t="shared" si="29"/>
        <v>2.9146846944660298E-2</v>
      </c>
      <c r="AG41" s="147">
        <f t="shared" si="36"/>
        <v>24.264750081429703</v>
      </c>
      <c r="AH41" s="123">
        <f t="shared" si="37"/>
        <v>1</v>
      </c>
      <c r="AI41" s="112">
        <f t="shared" si="37"/>
        <v>832.50000000000011</v>
      </c>
      <c r="AJ41" s="148">
        <f t="shared" si="38"/>
        <v>605.98925142984558</v>
      </c>
      <c r="AK41" s="147">
        <f t="shared" si="39"/>
        <v>226.5107485701545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24221.958594058553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0.17796797878640572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6055.4896485146382</v>
      </c>
      <c r="AB44" s="156">
        <f>Poor!AB44</f>
        <v>0.25</v>
      </c>
      <c r="AC44" s="147">
        <f t="shared" si="41"/>
        <v>6055.4896485146382</v>
      </c>
      <c r="AD44" s="156">
        <f>Poor!AD44</f>
        <v>0.25</v>
      </c>
      <c r="AE44" s="147">
        <f t="shared" si="42"/>
        <v>6055.4896485146382</v>
      </c>
      <c r="AF44" s="122">
        <f t="shared" si="29"/>
        <v>0.25</v>
      </c>
      <c r="AG44" s="147">
        <f t="shared" si="36"/>
        <v>6055.4896485146382</v>
      </c>
      <c r="AH44" s="123">
        <f t="shared" si="37"/>
        <v>1</v>
      </c>
      <c r="AI44" s="112">
        <f t="shared" si="37"/>
        <v>24221.958594058553</v>
      </c>
      <c r="AJ44" s="148">
        <f t="shared" si="38"/>
        <v>12110.979297029276</v>
      </c>
      <c r="AK44" s="147">
        <f t="shared" si="39"/>
        <v>12110.979297029276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121624.18</v>
      </c>
      <c r="J65" s="39">
        <f>SUM(J37:J64)</f>
        <v>116154.33408167251</v>
      </c>
      <c r="K65" s="40">
        <f>SUM(K37:K64)</f>
        <v>1</v>
      </c>
      <c r="L65" s="22">
        <f>SUM(L37:L64)</f>
        <v>0.8549661854526579</v>
      </c>
      <c r="M65" s="24">
        <f>SUM(M37:M64)</f>
        <v>0.85343024526789446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26607.299934468614</v>
      </c>
      <c r="AB65" s="137"/>
      <c r="AC65" s="153">
        <f>SUM(AC37:AC64)</f>
        <v>26663.908613990505</v>
      </c>
      <c r="AD65" s="137"/>
      <c r="AE65" s="153">
        <f>SUM(AE37:AE64)</f>
        <v>26534.855647003362</v>
      </c>
      <c r="AF65" s="137"/>
      <c r="AG65" s="153">
        <f>SUM(AG37:AG64)</f>
        <v>36348.26988621003</v>
      </c>
      <c r="AH65" s="137"/>
      <c r="AI65" s="153">
        <f>SUM(AI37:AI64)</f>
        <v>116154.33408167251</v>
      </c>
      <c r="AJ65" s="153">
        <f>SUM(AJ37:AJ64)</f>
        <v>53271.208548459123</v>
      </c>
      <c r="AK65" s="153">
        <f>SUM(AK37:AK64)</f>
        <v>62883.125533213395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100321.52103769015</v>
      </c>
      <c r="J74" s="51">
        <f t="shared" si="44"/>
        <v>1620.7777458943576</v>
      </c>
      <c r="K74" s="40">
        <f>B74/B$76</f>
        <v>4.0587766814047035E-2</v>
      </c>
      <c r="L74" s="22">
        <f t="shared" si="45"/>
        <v>3.1916677319229599E-2</v>
      </c>
      <c r="M74" s="24">
        <f>J74/B$76</f>
        <v>1.1908472982426742E-2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-1.7756056114202555E-12</v>
      </c>
      <c r="AF74" s="156"/>
      <c r="AG74" s="147">
        <f>AG30*$I$84/4</f>
        <v>3762.4337342677672</v>
      </c>
      <c r="AH74" s="155"/>
      <c r="AI74" s="147">
        <f>SUM(AA74,AC74,AE74,AG74)</f>
        <v>3762.4337342677654</v>
      </c>
      <c r="AJ74" s="148">
        <f>(AA74+AC74)</f>
        <v>0</v>
      </c>
      <c r="AK74" s="147">
        <f>(AE74+AG74)</f>
        <v>3762.4337342677654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27443.537373468331</v>
      </c>
      <c r="K75" s="40">
        <f>B75/B$76</f>
        <v>0.43798187945326222</v>
      </c>
      <c r="L75" s="22">
        <f t="shared" si="45"/>
        <v>0.18316588406539527</v>
      </c>
      <c r="M75" s="24">
        <f>J75/B$76</f>
        <v>0.20163814821743467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23239.925220161043</v>
      </c>
      <c r="AB75" s="158"/>
      <c r="AC75" s="149">
        <f>AA75+AC65-SUM(AC70,AC74)</f>
        <v>44578.169093574092</v>
      </c>
      <c r="AD75" s="158"/>
      <c r="AE75" s="149">
        <f>AC75+AE65-SUM(AE70,AE74)</f>
        <v>65787.360000000001</v>
      </c>
      <c r="AF75" s="158"/>
      <c r="AG75" s="149">
        <f>IF(SUM(AG6:AG29)+((AG65-AG70-$J$75)*4/I$83)&lt;1,0,AG65-AG70-$J$75-(1-SUM(AG6:AG29))*I$83/4)</f>
        <v>1958.2900262698847</v>
      </c>
      <c r="AH75" s="134"/>
      <c r="AI75" s="149">
        <f>AI76-SUM(AI70,AI74)</f>
        <v>91089.241385094909</v>
      </c>
      <c r="AJ75" s="151">
        <f>AJ76-SUM(AJ70,AJ74)</f>
        <v>42619.879067304209</v>
      </c>
      <c r="AK75" s="149">
        <f>AJ75+AK76-SUM(AK70,AK74)</f>
        <v>91089.241385094909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121624.18</v>
      </c>
      <c r="J76" s="51">
        <f t="shared" si="44"/>
        <v>116154.33408167251</v>
      </c>
      <c r="K76" s="40">
        <f>SUM(K70:K75)</f>
        <v>1.0000000000000002</v>
      </c>
      <c r="L76" s="22">
        <f>SUM(L70:L75)</f>
        <v>0.8549661854526579</v>
      </c>
      <c r="M76" s="24">
        <f>SUM(M70:M75)</f>
        <v>0.85343024526789457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26607.299934468614</v>
      </c>
      <c r="AB76" s="137"/>
      <c r="AC76" s="153">
        <f>AC65</f>
        <v>26663.908613990505</v>
      </c>
      <c r="AD76" s="137"/>
      <c r="AE76" s="153">
        <f>AE65</f>
        <v>26534.855647003362</v>
      </c>
      <c r="AF76" s="137"/>
      <c r="AG76" s="153">
        <f>AG65</f>
        <v>36348.26988621003</v>
      </c>
      <c r="AH76" s="137"/>
      <c r="AI76" s="153">
        <f>SUM(AA76,AC76,AE76,AG76)</f>
        <v>116154.33408167251</v>
      </c>
      <c r="AJ76" s="154">
        <f>SUM(AA76,AC76)</f>
        <v>53271.208548459123</v>
      </c>
      <c r="AK76" s="154">
        <f>SUM(AE76,AG76)</f>
        <v>62883.125533213388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1958.2900262698847</v>
      </c>
      <c r="AB78" s="112"/>
      <c r="AC78" s="112">
        <f>IF(AA75&lt;0,0,AA75)</f>
        <v>23239.925220161043</v>
      </c>
      <c r="AD78" s="112"/>
      <c r="AE78" s="112">
        <f>AC75</f>
        <v>44578.169093574092</v>
      </c>
      <c r="AF78" s="112"/>
      <c r="AG78" s="112">
        <f>AE75</f>
        <v>65787.360000000001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23239.925220161043</v>
      </c>
      <c r="AB79" s="112"/>
      <c r="AC79" s="112">
        <f>AA79-AA74+AC65-AC70</f>
        <v>44578.169093574092</v>
      </c>
      <c r="AD79" s="112"/>
      <c r="AE79" s="112">
        <f>AC79-AC74+AE65-AE70</f>
        <v>65787.360000000001</v>
      </c>
      <c r="AF79" s="112"/>
      <c r="AG79" s="112">
        <f>AE79-AE74+AG65-AG70</f>
        <v>96809.965145632566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0.10852634723110906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0.10852634723110906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1.7578765689541442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1.7578765689541442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8.8267138022729785</v>
      </c>
      <c r="J119" s="24">
        <f>SUM(J91:J118)</f>
        <v>8.4297469782121084</v>
      </c>
      <c r="K119" s="22">
        <f>SUM(K91:K118)</f>
        <v>16.297855145365599</v>
      </c>
      <c r="L119" s="22">
        <f>SUM(L91:L118)</f>
        <v>8.4449182089049692</v>
      </c>
      <c r="M119" s="57">
        <f t="shared" si="49"/>
        <v>8.4297469782121084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7.2807015382006997</v>
      </c>
      <c r="J128" s="229">
        <f>(J30)</f>
        <v>0.11762579858793387</v>
      </c>
      <c r="K128" s="22">
        <f>(B128)</f>
        <v>0.66149354420921547</v>
      </c>
      <c r="L128" s="22">
        <f>IF(L124=L119,0,(L119-L124)/(B119-B124)*K128)</f>
        <v>0.31525659616374524</v>
      </c>
      <c r="M128" s="57">
        <f t="shared" si="63"/>
        <v>0.11762579858793387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1.9916783826833386</v>
      </c>
      <c r="K129" s="29">
        <f>(B129)</f>
        <v>7.1381652276242447</v>
      </c>
      <c r="L129" s="60">
        <f>IF(SUM(L124:L128)&gt;L130,0,L130-SUM(L124:L128))</f>
        <v>1.8092188158003886</v>
      </c>
      <c r="M129" s="57">
        <f t="shared" si="63"/>
        <v>1.9916783826833386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8.8267138022729785</v>
      </c>
      <c r="J130" s="229">
        <f>(J119)</f>
        <v>8.4297469782121084</v>
      </c>
      <c r="K130" s="22">
        <f>(B130)</f>
        <v>16.297855145365599</v>
      </c>
      <c r="L130" s="22">
        <f>(L119)</f>
        <v>8.4449182089049692</v>
      </c>
      <c r="M130" s="57">
        <f t="shared" si="63"/>
        <v>8.4297469782121084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7092.3059196963713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6685.0623216527983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0.20377054877980252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4.9005459357089248E-2</v>
      </c>
      <c r="AB8" s="125">
        <f>IF($Y8=0,0,AC8/$Y8)</f>
        <v>0.45972010757281884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0.11055962297888995</v>
      </c>
      <c r="AD8" s="125">
        <f>IF($Y8=0,0,AE8/$Y8)</f>
        <v>0.19223556526089539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4.6231372672799337E-2</v>
      </c>
      <c r="AF8" s="122">
        <f t="shared" si="10"/>
        <v>0.14427377838648325</v>
      </c>
      <c r="AG8" s="121">
        <f t="shared" si="11"/>
        <v>3.4696882475654875E-2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7.9782541167989607E-2</v>
      </c>
      <c r="AK8" s="119">
        <f t="shared" si="15"/>
        <v>4.0464127574227106E-2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0.10984921173106557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0.10984921173106557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0.43939684692426229</v>
      </c>
      <c r="Z9" s="125">
        <f>IF($Y9=0,0,AA9/$Y9)</f>
        <v>0.20377054877980252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8.953613662987181E-2</v>
      </c>
      <c r="AB9" s="125">
        <f>IF($Y9=0,0,AC9/$Y9)</f>
        <v>0.45972010757281884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0.20199956573517927</v>
      </c>
      <c r="AD9" s="125">
        <f>IF($Y9=0,0,AE9/$Y9)</f>
        <v>0.19223556526089541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8.4467701242340695E-2</v>
      </c>
      <c r="AF9" s="122">
        <f t="shared" si="10"/>
        <v>0.14427377838648314</v>
      </c>
      <c r="AG9" s="121">
        <f t="shared" si="11"/>
        <v>6.3393443316870468E-2</v>
      </c>
      <c r="AH9" s="123">
        <f t="shared" si="12"/>
        <v>1</v>
      </c>
      <c r="AI9" s="183">
        <f t="shared" si="13"/>
        <v>0.10984921173106557</v>
      </c>
      <c r="AJ9" s="120">
        <f t="shared" si="14"/>
        <v>0.14576785118252555</v>
      </c>
      <c r="AK9" s="119">
        <f t="shared" si="15"/>
        <v>7.3930572279605589E-2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0.20377054877980252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3.2889170728629909E-2</v>
      </c>
      <c r="AB10" s="125">
        <f>IF($Y10=0,0,AC10/$Y10)</f>
        <v>0.45972010757281889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7.4200188377984116E-2</v>
      </c>
      <c r="AD10" s="125">
        <f>IF($Y10=0,0,AE10/$Y10)</f>
        <v>0.19223556526089541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3.1027390188816829E-2</v>
      </c>
      <c r="AF10" s="122">
        <f t="shared" si="10"/>
        <v>0.14427377838648314</v>
      </c>
      <c r="AG10" s="121">
        <f t="shared" si="11"/>
        <v>2.3286215586262791E-2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5.3544679553307009E-2</v>
      </c>
      <c r="AK10" s="119">
        <f t="shared" si="15"/>
        <v>2.715680288753981E-2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19918.156201039696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0.20377054877980252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0.11559444938864626</v>
      </c>
      <c r="AB11" s="125">
        <f>IF($Y11=0,0,AC11/$Y11)</f>
        <v>0.45972010757281889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0.26078887761741409</v>
      </c>
      <c r="AD11" s="125">
        <f>IF($Y11=0,0,AE11/$Y11)</f>
        <v>0.19223556526089539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0.10905091266776296</v>
      </c>
      <c r="AF11" s="122">
        <f t="shared" si="10"/>
        <v>0.14427377838648325</v>
      </c>
      <c r="AG11" s="121">
        <f t="shared" si="11"/>
        <v>8.1843269666151741E-2</v>
      </c>
      <c r="AH11" s="123">
        <f t="shared" si="12"/>
        <v>1</v>
      </c>
      <c r="AI11" s="183">
        <f t="shared" si="13"/>
        <v>0.14181937733499378</v>
      </c>
      <c r="AJ11" s="120">
        <f t="shared" si="14"/>
        <v>0.18819166350303018</v>
      </c>
      <c r="AK11" s="119">
        <f t="shared" si="15"/>
        <v>9.5447091166957349E-2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299059.20000000001</v>
      </c>
      <c r="T13" s="223">
        <f>IF($B$81=0,0,(SUMIF($N$6:$N$28,$U13,M$6:M$28)+SUMIF($N$91:$N$118,$U13,M$91:M$118))*$I$83*Poor!$B$81/$B$81)</f>
        <v>299059.20000000001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387251.06309089129</v>
      </c>
      <c r="T23" s="179">
        <f>SUM(T7:T22)</f>
        <v>387132.72565680608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3.1406554570432075E-3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3.1406554570432075E-3</v>
      </c>
      <c r="N28" s="230"/>
      <c r="O28" s="2"/>
      <c r="P28" s="22"/>
      <c r="U28" s="56"/>
      <c r="V28" s="56"/>
      <c r="W28" s="110"/>
      <c r="X28" s="118"/>
      <c r="Y28" s="183">
        <f t="shared" si="9"/>
        <v>1.256262182817283E-2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6.2813109140864151E-3</v>
      </c>
      <c r="AF28" s="122">
        <f t="shared" si="10"/>
        <v>0.5</v>
      </c>
      <c r="AG28" s="121">
        <f t="shared" si="11"/>
        <v>6.2813109140864151E-3</v>
      </c>
      <c r="AH28" s="123">
        <f t="shared" si="12"/>
        <v>1</v>
      </c>
      <c r="AI28" s="183">
        <f t="shared" si="13"/>
        <v>3.1406554570432075E-3</v>
      </c>
      <c r="AJ28" s="120">
        <f t="shared" si="14"/>
        <v>0</v>
      </c>
      <c r="AK28" s="119">
        <f t="shared" si="15"/>
        <v>6.2813109140864151E-3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0.33628433627434312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0.33628433627434312</v>
      </c>
      <c r="N29" s="230"/>
      <c r="P29" s="22"/>
      <c r="V29" s="56"/>
      <c r="W29" s="110"/>
      <c r="X29" s="118"/>
      <c r="Y29" s="183">
        <f t="shared" si="9"/>
        <v>1.3451373450973725</v>
      </c>
      <c r="Z29" s="156">
        <f>Poor!Z29</f>
        <v>0.25</v>
      </c>
      <c r="AA29" s="121">
        <f t="shared" si="16"/>
        <v>0.33628433627434312</v>
      </c>
      <c r="AB29" s="156">
        <f>Poor!AB29</f>
        <v>0.25</v>
      </c>
      <c r="AC29" s="121">
        <f t="shared" si="7"/>
        <v>0.33628433627434312</v>
      </c>
      <c r="AD29" s="156">
        <f>Poor!AD29</f>
        <v>0.25</v>
      </c>
      <c r="AE29" s="121">
        <f t="shared" si="8"/>
        <v>0.33628433627434312</v>
      </c>
      <c r="AF29" s="122">
        <f t="shared" si="10"/>
        <v>0.25</v>
      </c>
      <c r="AG29" s="121">
        <f t="shared" si="11"/>
        <v>0.33628433627434312</v>
      </c>
      <c r="AH29" s="123">
        <f t="shared" si="12"/>
        <v>1</v>
      </c>
      <c r="AI29" s="183">
        <f t="shared" si="13"/>
        <v>0.33628433627434312</v>
      </c>
      <c r="AJ29" s="120">
        <f t="shared" si="14"/>
        <v>0.33628433627434312</v>
      </c>
      <c r="AK29" s="119">
        <f t="shared" si="15"/>
        <v>0.33628433627434312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25.516746257220269</v>
      </c>
      <c r="J30" s="232">
        <f>IF(I$32&lt;=1,I30,1-SUM(J6:J29))</f>
        <v>4.6945192926091117E-2</v>
      </c>
      <c r="K30" s="22">
        <f t="shared" si="4"/>
        <v>0.59689273225404738</v>
      </c>
      <c r="L30" s="22">
        <f>IF(L124=L119,0,IF(K30="",0,(L119-L124)/(B119-B124)*K30))</f>
        <v>0.32860746023836745</v>
      </c>
      <c r="M30" s="175">
        <f t="shared" si="6"/>
        <v>4.6945192926091117E-2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0.18778077170436447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1.1824672084882611E-15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0.99999999999999822</v>
      </c>
      <c r="AG30" s="187">
        <f>IF(AG79*4/$I$83+SUM(AG6:AG29)&lt;1,AG79*4/$I$83,1-SUM(AG6:AG29))</f>
        <v>0.18778077170436414</v>
      </c>
      <c r="AH30" s="123">
        <f t="shared" si="12"/>
        <v>0.99999999999999944</v>
      </c>
      <c r="AI30" s="183">
        <f t="shared" si="13"/>
        <v>4.6945192926091089E-2</v>
      </c>
      <c r="AJ30" s="120">
        <f t="shared" si="14"/>
        <v>1.1102230246251565E-16</v>
      </c>
      <c r="AK30" s="119">
        <f t="shared" si="15"/>
        <v>9.3890385852182068E-2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-0.29400075196937614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27.359185084636739</v>
      </c>
      <c r="J32" s="17"/>
      <c r="L32" s="22">
        <f>SUM(L6:L30)</f>
        <v>1.2940007519693761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-1.4068237229503146E-2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3004.8635008664182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8.8297078141424852E-3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3004.8635008664182</v>
      </c>
      <c r="AH38" s="123">
        <f t="shared" ref="AH38:AI58" si="35">SUM(Z38,AB38,AD38,AF38)</f>
        <v>1</v>
      </c>
      <c r="AI38" s="112">
        <f t="shared" si="35"/>
        <v>3004.8635008664182</v>
      </c>
      <c r="AJ38" s="148">
        <f t="shared" ref="AJ38:AJ64" si="36">(AA38+AC38)</f>
        <v>0</v>
      </c>
      <c r="AK38" s="147">
        <f t="shared" ref="AK38:AK64" si="37">(AE38+AG38)</f>
        <v>3004.8635008664182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0.20377054877980252</v>
      </c>
      <c r="AA39" s="147">
        <f>$J39*Z39</f>
        <v>461.66255531552059</v>
      </c>
      <c r="AB39" s="122">
        <f>AB8</f>
        <v>0.45972010757281884</v>
      </c>
      <c r="AC39" s="147">
        <f>$J39*AB39</f>
        <v>1041.5418757169782</v>
      </c>
      <c r="AD39" s="122">
        <f>AD8</f>
        <v>0.19223556526089539</v>
      </c>
      <c r="AE39" s="147">
        <f>$J39*AD39</f>
        <v>435.52889665508457</v>
      </c>
      <c r="AF39" s="122">
        <f t="shared" si="31"/>
        <v>0.14427377838648325</v>
      </c>
      <c r="AG39" s="147">
        <f t="shared" si="34"/>
        <v>326.86667231241643</v>
      </c>
      <c r="AH39" s="123">
        <f t="shared" si="35"/>
        <v>1</v>
      </c>
      <c r="AI39" s="112">
        <f t="shared" si="35"/>
        <v>2265.6</v>
      </c>
      <c r="AJ39" s="148">
        <f t="shared" si="36"/>
        <v>1503.2044310324989</v>
      </c>
      <c r="AK39" s="147">
        <f t="shared" si="37"/>
        <v>762.39556896750105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5570.8852680439986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1.6369891400643048E-2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0.20377054877980252</v>
      </c>
      <c r="AA40" s="147">
        <f>$J40*Z40</f>
        <v>1135.1823482586428</v>
      </c>
      <c r="AB40" s="122">
        <f>AB9</f>
        <v>0.45972010757281884</v>
      </c>
      <c r="AC40" s="147">
        <f>$J40*AB40</f>
        <v>2561.0479747010186</v>
      </c>
      <c r="AD40" s="122">
        <f>AD9</f>
        <v>0.19223556526089541</v>
      </c>
      <c r="AE40" s="147">
        <f>$J40*AD40</f>
        <v>1070.9222785060329</v>
      </c>
      <c r="AF40" s="122">
        <f t="shared" si="31"/>
        <v>0.14427377838648314</v>
      </c>
      <c r="AG40" s="147">
        <f t="shared" si="34"/>
        <v>803.73266657830357</v>
      </c>
      <c r="AH40" s="123">
        <f t="shared" si="35"/>
        <v>1</v>
      </c>
      <c r="AI40" s="112">
        <f t="shared" si="35"/>
        <v>5570.8852680439977</v>
      </c>
      <c r="AJ40" s="148">
        <f t="shared" si="36"/>
        <v>3696.2303229596614</v>
      </c>
      <c r="AK40" s="147">
        <f t="shared" si="37"/>
        <v>1874.6549450843363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0.20377054877980252</v>
      </c>
      <c r="AA41" s="147">
        <f>$J41*Z41</f>
        <v>0</v>
      </c>
      <c r="AB41" s="122">
        <f>AB11</f>
        <v>0.45972010757281889</v>
      </c>
      <c r="AC41" s="147">
        <f>$J41*AB41</f>
        <v>0</v>
      </c>
      <c r="AD41" s="122">
        <f>AD11</f>
        <v>0.19223556526089539</v>
      </c>
      <c r="AE41" s="147">
        <f>$J41*AD41</f>
        <v>0</v>
      </c>
      <c r="AF41" s="122">
        <f t="shared" si="31"/>
        <v>0.14427377838648325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311142.40000000002</v>
      </c>
      <c r="J65" s="39">
        <f>SUM(J37:J64)</f>
        <v>315564.5487689104</v>
      </c>
      <c r="K65" s="40">
        <f>SUM(K37:K64)</f>
        <v>1</v>
      </c>
      <c r="L65" s="22">
        <f>SUM(L37:L64)</f>
        <v>0.92709737717660212</v>
      </c>
      <c r="M65" s="24">
        <f>SUM(M37:M64)</f>
        <v>0.9272776488275708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74945.644903574168</v>
      </c>
      <c r="AB65" s="137"/>
      <c r="AC65" s="153">
        <f>SUM(AC37:AC64)</f>
        <v>76951.389850417996</v>
      </c>
      <c r="AD65" s="137"/>
      <c r="AE65" s="153">
        <f>SUM(AE37:AE64)</f>
        <v>74855.251175161116</v>
      </c>
      <c r="AF65" s="137"/>
      <c r="AG65" s="153">
        <f>SUM(AG37:AG64)</f>
        <v>88812.262839757139</v>
      </c>
      <c r="AH65" s="137"/>
      <c r="AI65" s="153">
        <f>SUM(AI37:AI64)</f>
        <v>315564.5487689104</v>
      </c>
      <c r="AJ65" s="153">
        <f>SUM(AJ37:AJ64)</f>
        <v>151897.03475399216</v>
      </c>
      <c r="AK65" s="153">
        <f>SUM(AK37:AK64)</f>
        <v>163667.51401491827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292998.18419807515</v>
      </c>
      <c r="J74" s="51">
        <f>J128*I$83</f>
        <v>539.05212465248849</v>
      </c>
      <c r="K74" s="40">
        <f>B74/B$76</f>
        <v>1.2206005595024303E-2</v>
      </c>
      <c r="L74" s="22">
        <f>(L128*G$37*F$9/F$7)/B$130</f>
        <v>1.1087627750295695E-2</v>
      </c>
      <c r="M74" s="24">
        <f>J74/B$76</f>
        <v>1.5839896740406972E-3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6.3741146106749417E-13</v>
      </c>
      <c r="AD74" s="156"/>
      <c r="AE74" s="147">
        <f>AE30*$I$83/4</f>
        <v>0</v>
      </c>
      <c r="AF74" s="156"/>
      <c r="AG74" s="147">
        <f>AG30*$I$83/4</f>
        <v>539.05212465248746</v>
      </c>
      <c r="AH74" s="155"/>
      <c r="AI74" s="147">
        <f>SUM(AA74,AC74,AE74,AG74)</f>
        <v>539.05212465248815</v>
      </c>
      <c r="AJ74" s="148">
        <f>(AA74+AC74)</f>
        <v>6.3741146106749417E-13</v>
      </c>
      <c r="AK74" s="147">
        <f>(AE74+AG74)</f>
        <v>539.05212465248746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205600.41417566637</v>
      </c>
      <c r="K75" s="40">
        <f>B75/B$76</f>
        <v>0.72240052870094063</v>
      </c>
      <c r="L75" s="22">
        <f>(L129*G$37*F$9/F$7)/B$130</f>
        <v>0.59446718835572254</v>
      </c>
      <c r="M75" s="24">
        <f>J75/B$76</f>
        <v>0.6041510980829462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70409.590953092949</v>
      </c>
      <c r="AB75" s="158"/>
      <c r="AC75" s="149">
        <f>AA75+AC65-SUM(AC70,AC74)</f>
        <v>142824.92685302973</v>
      </c>
      <c r="AD75" s="158"/>
      <c r="AE75" s="149">
        <f>AC75+AE65-SUM(AE70,AE74)</f>
        <v>213144.12407770965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296881.28084233304</v>
      </c>
      <c r="AJ75" s="151">
        <f>AJ76-SUM(AJ70,AJ74)</f>
        <v>142824.92685302973</v>
      </c>
      <c r="AK75" s="149">
        <f>AJ75+AK76-SUM(AK70,AK74)</f>
        <v>296881.2808423331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311142.39999999997</v>
      </c>
      <c r="J76" s="51">
        <f>J130*I$83</f>
        <v>315564.5487689104</v>
      </c>
      <c r="K76" s="40">
        <f>SUM(K70:K75)</f>
        <v>0.92043596816339179</v>
      </c>
      <c r="L76" s="22">
        <f>SUM(L70:L75)</f>
        <v>0.83321181960940416</v>
      </c>
      <c r="M76" s="24">
        <f>SUM(M70:M75)</f>
        <v>0.83339209126037284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74945.644903574168</v>
      </c>
      <c r="AB76" s="137"/>
      <c r="AC76" s="153">
        <f>AC65</f>
        <v>76951.389850417996</v>
      </c>
      <c r="AD76" s="137"/>
      <c r="AE76" s="153">
        <f>AE65</f>
        <v>74855.251175161116</v>
      </c>
      <c r="AF76" s="137"/>
      <c r="AG76" s="153">
        <f>AG65</f>
        <v>88812.262839757139</v>
      </c>
      <c r="AH76" s="137"/>
      <c r="AI76" s="153">
        <f>SUM(AA76,AC76,AE76,AG76)</f>
        <v>315564.5487689104</v>
      </c>
      <c r="AJ76" s="154">
        <f>SUM(AA76,AC76)</f>
        <v>151897.03475399216</v>
      </c>
      <c r="AK76" s="154">
        <f>SUM(AE76,AG76)</f>
        <v>163667.51401491824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70409.590953092949</v>
      </c>
      <c r="AD78" s="112"/>
      <c r="AE78" s="112">
        <f>AC75</f>
        <v>142824.92685302973</v>
      </c>
      <c r="AF78" s="112"/>
      <c r="AG78" s="112">
        <f>AE75</f>
        <v>213144.12407770965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70409.590953092949</v>
      </c>
      <c r="AB79" s="112"/>
      <c r="AC79" s="112">
        <f>AA79-AA74+AC65-AC70</f>
        <v>142824.92685302973</v>
      </c>
      <c r="AD79" s="112"/>
      <c r="AE79" s="112">
        <f>AC79-AC74+AE65-AE70</f>
        <v>213144.12407770965</v>
      </c>
      <c r="AF79" s="112"/>
      <c r="AG79" s="112">
        <f>AE79-AE74+AG65-AG70</f>
        <v>297420.33296698553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0.26168878724981087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0.26168878724981087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0.48515954527782057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0.48515954527782057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27.096897178363776</v>
      </c>
      <c r="J119" s="24">
        <f>SUM(J91:J118)</f>
        <v>27.482015087393833</v>
      </c>
      <c r="K119" s="22">
        <f>SUM(K91:K118)</f>
        <v>48.901561416403645</v>
      </c>
      <c r="L119" s="22">
        <f>SUM(L91:L118)</f>
        <v>27.476672320598997</v>
      </c>
      <c r="M119" s="57">
        <f t="shared" si="50"/>
        <v>27.482015087393833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25.516746257220269</v>
      </c>
      <c r="J128" s="229">
        <f>(J30)</f>
        <v>4.6945192926091117E-2</v>
      </c>
      <c r="K128" s="22">
        <f>(B128)</f>
        <v>0.59689273225404738</v>
      </c>
      <c r="L128" s="22">
        <f>IF(L124=L119,0,(L119-L124)/(B119-B124)*K128)</f>
        <v>0.32860746023836745</v>
      </c>
      <c r="M128" s="57">
        <f t="shared" si="90"/>
        <v>4.6945192926091117E-2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17.905413350115698</v>
      </c>
      <c r="K129" s="29">
        <f>(B129)</f>
        <v>35.326513821511512</v>
      </c>
      <c r="L129" s="60">
        <f>IF(SUM(L124:L128)&gt;L130,0,L130-SUM(L124:L128))</f>
        <v>17.618408316008583</v>
      </c>
      <c r="M129" s="57">
        <f t="shared" si="90"/>
        <v>17.905413350115698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27.096897178363776</v>
      </c>
      <c r="J130" s="229">
        <f>(J119)</f>
        <v>27.482015087393833</v>
      </c>
      <c r="K130" s="22">
        <f>(B130)</f>
        <v>48.901561416403645</v>
      </c>
      <c r="L130" s="22">
        <f>(L119)</f>
        <v>27.476672320598997</v>
      </c>
      <c r="M130" s="57">
        <f t="shared" si="90"/>
        <v>27.482015087393833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7092.3059196963713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6685.0623216527983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9991.3954876139651</v>
      </c>
      <c r="I76" s="109">
        <f>Rich!T11</f>
        <v>19918.156201039696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4495.5</v>
      </c>
      <c r="G77" s="109">
        <f>Poor!T12</f>
        <v>8075.2500000000027</v>
      </c>
      <c r="H77" s="109">
        <f>Middle!T12</f>
        <v>832.50000000000011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5274.72</v>
      </c>
      <c r="G78" s="109">
        <f>Poor!T13</f>
        <v>6260.4000000000005</v>
      </c>
      <c r="H78" s="109">
        <f>Middle!T13</f>
        <v>75331.199999999997</v>
      </c>
      <c r="I78" s="109">
        <f>Rich!T13</f>
        <v>299059.20000000001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24221.958594058553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17556.475431798364</v>
      </c>
      <c r="G88" s="109">
        <f>Poor!T23</f>
        <v>32346.549736045741</v>
      </c>
      <c r="H88" s="109">
        <f>Middle!T23</f>
        <v>125457.05778130249</v>
      </c>
      <c r="I88" s="109">
        <f>Rich!T23</f>
        <v>387132.72565680608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15303.591647998535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29090.711647998538</v>
      </c>
      <c r="G99" s="240">
        <f t="shared" si="0"/>
        <v>13371.037343751163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53644.151647998529</v>
      </c>
      <c r="G100" s="240">
        <f t="shared" si="0"/>
        <v>37924.477343751161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2016-06-02T08:36:55Z</dcterms:modified>
  <cp:category/>
</cp:coreProperties>
</file>