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E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<sst xmlns="http://schemas.openxmlformats.org/spreadsheetml/2006/main" count="790" uniqueCount="145">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</sst>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0.0403486924034869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664024"/>
        <c:axId val="1819477912"/>
      </c:barChart>
      <c:catAx>
        <c:axId val="181966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47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47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66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0.00849377516998359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67800"/>
        <c:axId val="-2100080408"/>
      </c:barChart>
      <c:catAx>
        <c:axId val="-210006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08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8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06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0.24205918159674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0.00535402889829363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0.0573350422989257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0.103203076138066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0.00114670084597851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67960"/>
        <c:axId val="-2100264968"/>
      </c:barChart>
      <c:catAx>
        <c:axId val="-210026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6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6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6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0.030822812363953</c:v>
                </c:pt>
                <c:pt idx="2">
                  <c:v>0.030822812363953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0.0121898127993034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233384"/>
        <c:axId val="-2022382920"/>
      </c:barChart>
      <c:catAx>
        <c:axId val="-202223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38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38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3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6403.091693174962</c:v>
                </c:pt>
                <c:pt idx="7">
                  <c:v>9129.337612568705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26908.30906677839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884.9999999999999</c:v>
                </c:pt>
                <c:pt idx="5">
                  <c:v>3776</c:v>
                </c:pt>
                <c:pt idx="6">
                  <c:v>10281.92186990471</c:v>
                </c:pt>
                <c:pt idx="7">
                  <c:v>31835.15262081693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1826.438640804208</c:v>
                </c:pt>
                <c:pt idx="6">
                  <c:v>416.990303346498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818264"/>
        <c:axId val="-2016821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18264"/>
        <c:axId val="-2016821720"/>
      </c:lineChart>
      <c:catAx>
        <c:axId val="-201681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2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2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1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051816"/>
        <c:axId val="-2017048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51816"/>
        <c:axId val="-2017048488"/>
      </c:lineChart>
      <c:catAx>
        <c:axId val="-201705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4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4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5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148104"/>
        <c:axId val="-2017144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48104"/>
        <c:axId val="-2017144760"/>
      </c:lineChart>
      <c:catAx>
        <c:axId val="-201714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4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0.32327263400872</c:v>
                </c:pt>
                <c:pt idx="2">
                  <c:v>0.317886637599384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-0.977997634866993</c:v>
                </c:pt>
                <c:pt idx="2">
                  <c:v>-0.977997634866992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96168"/>
        <c:axId val="-2017227928"/>
      </c:barChart>
      <c:catAx>
        <c:axId val="-20171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2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22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9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0.0582159638994566</c:v>
                </c:pt>
                <c:pt idx="2">
                  <c:v>0.0843731537842018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0.126755732041384</c:v>
                </c:pt>
                <c:pt idx="2">
                  <c:v>0.101155987318775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0.0582159638994566</c:v>
                </c:pt>
                <c:pt idx="2">
                  <c:v>0.0843731537842018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-0.0812554774642772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285432"/>
        <c:axId val="-2017282072"/>
      </c:barChart>
      <c:catAx>
        <c:axId val="-201728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8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28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8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0.059328012849618</c:v>
                </c:pt>
                <c:pt idx="2">
                  <c:v>0.0265694997104081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0.245116405644973</c:v>
                </c:pt>
                <c:pt idx="2">
                  <c:v>0.284119180842713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0.059328012849618</c:v>
                </c:pt>
                <c:pt idx="2">
                  <c:v>0.0265694997104081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57368"/>
        <c:axId val="-2017353992"/>
      </c:barChart>
      <c:catAx>
        <c:axId val="-201735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5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5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5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0.0430126251632564</c:v>
                </c:pt>
                <c:pt idx="2">
                  <c:v>0.030822812363953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-1.728916945005279</c:v>
                </c:pt>
                <c:pt idx="2">
                  <c:v>-1.728916945005278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83352"/>
        <c:axId val="-2017404696"/>
      </c:barChart>
      <c:catAx>
        <c:axId val="-201738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40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0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8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0.0229375078315143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0.0153816228987801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0.0143358071705816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0.199384360360284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0.212857680972345</c:v>
                </c:pt>
                <c:pt idx="2" formatCode="0.0%">
                  <c:v>0.308497406000965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0234040"/>
        <c:axId val="1820228840"/>
      </c:barChart>
      <c:catAx>
        <c:axId val="18202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22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022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23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792696"/>
        <c:axId val="-20845857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92696"/>
        <c:axId val="-20845857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92696"/>
        <c:axId val="-2084585704"/>
      </c:scatterChart>
      <c:catAx>
        <c:axId val="-2084792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585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585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792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219848"/>
        <c:axId val="-2084671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19848"/>
        <c:axId val="-2084671016"/>
      </c:lineChart>
      <c:catAx>
        <c:axId val="-2085219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671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671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219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75656"/>
        <c:axId val="-20848802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87656"/>
        <c:axId val="-2084890344"/>
      </c:scatterChart>
      <c:valAx>
        <c:axId val="-2084875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80200"/>
        <c:crosses val="autoZero"/>
        <c:crossBetween val="midCat"/>
      </c:valAx>
      <c:valAx>
        <c:axId val="-208488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75656"/>
        <c:crosses val="autoZero"/>
        <c:crossBetween val="midCat"/>
      </c:valAx>
      <c:valAx>
        <c:axId val="-2084887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4890344"/>
        <c:crosses val="autoZero"/>
        <c:crossBetween val="midCat"/>
      </c:valAx>
      <c:valAx>
        <c:axId val="-20848903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876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93944"/>
        <c:axId val="-20850045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93944"/>
        <c:axId val="-2085004552"/>
      </c:lineChart>
      <c:catAx>
        <c:axId val="-20849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004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004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993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0.202260531605274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0.0196745316986167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0.0030864777330607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0.00436084249829285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0.0335308854641603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0.0280413157200279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0.196338739425889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0.281591834671617</c:v>
                </c:pt>
                <c:pt idx="2" formatCode="0.0%">
                  <c:v>0.126108288654893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768040"/>
        <c:axId val="1819762904"/>
      </c:barChart>
      <c:catAx>
        <c:axId val="181976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76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76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76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379640"/>
        <c:axId val="1819373608"/>
      </c:barChart>
      <c:catAx>
        <c:axId val="181937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3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3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37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0.015946933615377</c:v>
                </c:pt>
                <c:pt idx="1">
                  <c:v>0.262625530059067</c:v>
                </c:pt>
                <c:pt idx="2">
                  <c:v>-0.139286231837222</c:v>
                </c:pt>
                <c:pt idx="3">
                  <c:v>-0.139286231837222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35080"/>
        <c:axId val="-2016440952"/>
      </c:barChart>
      <c:catAx>
        <c:axId val="-2016435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40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44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3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0.0979356317605467</c:v>
                </c:pt>
                <c:pt idx="1">
                  <c:v>-0.0326452105868489</c:v>
                </c:pt>
                <c:pt idx="2">
                  <c:v>-0.0326452105868489</c:v>
                </c:pt>
                <c:pt idx="3">
                  <c:v>-0.0326452105868489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24280"/>
        <c:axId val="-2016569992"/>
      </c:barChart>
      <c:catAx>
        <c:axId val="-2016524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69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56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2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0.0696391313513318</c:v>
                </c:pt>
                <c:pt idx="1">
                  <c:v>0.0279413481007229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0.0808812882535809</c:v>
                </c:pt>
                <c:pt idx="1">
                  <c:v>0.0324520450797524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0.327173166329131</c:v>
                </c:pt>
                <c:pt idx="1">
                  <c:v>0.13127187476676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0.140156826882977</c:v>
                </c:pt>
                <c:pt idx="1">
                  <c:v>0.0562352030049429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0.0614725209884582</c:v>
                </c:pt>
                <c:pt idx="3">
                  <c:v>0.0302775103375988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0.0286716143411633</c:v>
                </c:pt>
                <c:pt idx="3">
                  <c:v>0.0286716143411633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0.199384360360284</c:v>
                </c:pt>
                <c:pt idx="1">
                  <c:v>0.199384360360284</c:v>
                </c:pt>
                <c:pt idx="2">
                  <c:v>0.199384360360284</c:v>
                </c:pt>
                <c:pt idx="3">
                  <c:v>0.199384360360284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0.333574090197484</c:v>
                </c:pt>
                <c:pt idx="2">
                  <c:v>0.510547704137461</c:v>
                </c:pt>
                <c:pt idx="3">
                  <c:v>0.451394321264037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36232"/>
        <c:axId val="-2016632920"/>
      </c:barChart>
      <c:catAx>
        <c:axId val="-2016636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32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63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3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0.0515371790458432</c:v>
                </c:pt>
                <c:pt idx="1">
                  <c:v>0.0511305254311624</c:v>
                </c:pt>
                <c:pt idx="2">
                  <c:v>0.017578964265211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0.0485741547184466</c:v>
                </c:pt>
                <c:pt idx="1">
                  <c:v>0.0481908808186713</c:v>
                </c:pt>
                <c:pt idx="2">
                  <c:v>0.0165682977962154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0.346751800786935</c:v>
                </c:pt>
                <c:pt idx="1">
                  <c:v>0.344015759043912</c:v>
                </c:pt>
                <c:pt idx="2">
                  <c:v>0.118274566590248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0.121208741092533</c:v>
                </c:pt>
                <c:pt idx="1">
                  <c:v>0.120252344688835</c:v>
                </c:pt>
                <c:pt idx="2">
                  <c:v>0.0413434372572378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0.0527277449522927</c:v>
                </c:pt>
                <c:pt idx="3">
                  <c:v>0.025970381842174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0.0123459109322428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0.0174433699931714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0.0560826314400557</c:v>
                </c:pt>
                <c:pt idx="3">
                  <c:v>0.0560826314400557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0.196338739425889</c:v>
                </c:pt>
                <c:pt idx="1">
                  <c:v>0.196338739425889</c:v>
                </c:pt>
                <c:pt idx="2">
                  <c:v>0.196338739425889</c:v>
                </c:pt>
                <c:pt idx="3">
                  <c:v>0.196338739425889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0.0</c:v>
                </c:pt>
                <c:pt idx="2">
                  <c:v>0.227722057320817</c:v>
                </c:pt>
                <c:pt idx="3">
                  <c:v>0.276711097298752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91432"/>
        <c:axId val="-2016798424"/>
      </c:barChart>
      <c:catAx>
        <c:axId val="-2016791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98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79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9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599272"/>
        <c:axId val="-2081079592"/>
      </c:barChart>
      <c:catAx>
        <c:axId val="-20805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07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07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5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9301.9544216777795</v>
      </c>
      <c r="T23" s="179">
        <f>SUM(T7:T22)</f>
        <v>9262.8619136103207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0.57640191780821914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41625.860171312313</v>
      </c>
      <c r="T30" s="235">
        <f t="shared" si="24"/>
        <v>41664.95267937977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9.7935631760546704E-2</v>
      </c>
      <c r="AB30" s="122">
        <f>IF($Y30=0,0,AC30/($Y$30))</f>
        <v>0</v>
      </c>
      <c r="AC30" s="187">
        <f>IF(AC79*4/$I$83+SUM(AC6:AC29)&lt;1,AC79*4/$I$83,1-SUM(AC6:AC29))</f>
        <v>-3.2645210586848904E-2</v>
      </c>
      <c r="AD30" s="122">
        <f>IF($Y30=0,0,AE30/($Y$30))</f>
        <v>0</v>
      </c>
      <c r="AE30" s="187">
        <f>IF(AE79*4/$I$83+SUM(AE6:AE29)&lt;1,AE79*4/$I$83,1-SUM(AE6:AE29))</f>
        <v>-3.2645210586848904E-2</v>
      </c>
      <c r="AF30" s="122">
        <f>IF($Y30=0,0,AG30/($Y$30))</f>
        <v>0</v>
      </c>
      <c r="AG30" s="187">
        <f>IF(AG79*4/$I$83+SUM(AG6:AG29)&lt;1,AG79*4/$I$83,1-SUM(AG6:AG29))</f>
        <v>-3.2645210586848904E-2</v>
      </c>
      <c r="AH30" s="123">
        <f t="shared" si="12"/>
        <v>0</v>
      </c>
      <c r="AI30" s="183">
        <f t="shared" si="13"/>
        <v>0</v>
      </c>
      <c r="AJ30" s="120">
        <f t="shared" si="14"/>
        <v>3.2645210586848897E-2</v>
      </c>
      <c r="AK30" s="119">
        <f t="shared" si="15"/>
        <v>-3.2645210586848904E-2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0.46632699279546064</v>
      </c>
      <c r="K31" s="22" t="str">
        <f t="shared" si="4"/>
        <v/>
      </c>
      <c r="L31" s="22">
        <f>(1-SUM(L6:L30))</f>
        <v>0.4637745851060755</v>
      </c>
      <c r="M31" s="242">
        <f t="shared" si="6"/>
        <v>0.46632699279546064</v>
      </c>
      <c r="N31" s="167">
        <f>M31*I83</f>
        <v>10113.566583399237</v>
      </c>
      <c r="P31" s="22"/>
      <c r="Q31" s="239" t="s">
        <v>142</v>
      </c>
      <c r="R31" s="235">
        <f t="shared" si="24"/>
        <v>20906.156764887033</v>
      </c>
      <c r="S31" s="235">
        <f t="shared" si="24"/>
        <v>62244.393504645639</v>
      </c>
      <c r="T31" s="235">
        <f>IF(T25&gt;T$23,T25-T$23,0)</f>
        <v>62283.486012713096</v>
      </c>
      <c r="U31" s="243"/>
      <c r="V31" s="56"/>
      <c r="W31" s="129" t="s">
        <v>84</v>
      </c>
      <c r="X31" s="130"/>
      <c r="Y31" s="121">
        <f>M31*4</f>
        <v>1.8653079711818426</v>
      </c>
      <c r="Z31" s="131"/>
      <c r="AA31" s="132">
        <f>1-AA32+IF($Y32&lt;0,$Y32/4,0)</f>
        <v>3.7451800208326169E-2</v>
      </c>
      <c r="AB31" s="131"/>
      <c r="AC31" s="133">
        <f>1-AC32+IF($Y32&lt;0,$Y32/4,0)</f>
        <v>0.63194694063583801</v>
      </c>
      <c r="AD31" s="134"/>
      <c r="AE31" s="133">
        <f>1-AE32+IF($Y32&lt;0,$Y32/4,0)</f>
        <v>0.588506462148914</v>
      </c>
      <c r="AF31" s="134"/>
      <c r="AG31" s="133">
        <f>1-AG32+IF($Y32&lt;0,$Y32/4,0)</f>
        <v>0.63088608076659769</v>
      </c>
      <c r="AH31" s="123"/>
      <c r="AI31" s="182">
        <f>SUM(AA31,AC31,AE31,AG31)/4</f>
        <v>0.47219782093991897</v>
      </c>
      <c r="AJ31" s="135">
        <f t="shared" si="14"/>
        <v>0.33469937042208209</v>
      </c>
      <c r="AK31" s="136">
        <f t="shared" si="15"/>
        <v>0.60969627145775585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0.53367300720453936</v>
      </c>
      <c r="J32" s="17"/>
      <c r="L32" s="22">
        <f>SUM(L6:L30)</f>
        <v>0.5362254148939245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103166.79350464564</v>
      </c>
      <c r="T32" s="235">
        <f t="shared" si="24"/>
        <v>103205.8860127131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0.96254819979167383</v>
      </c>
      <c r="AB32" s="137"/>
      <c r="AC32" s="139">
        <f>SUM(AC6:AC30)</f>
        <v>0.36805305936416199</v>
      </c>
      <c r="AD32" s="137"/>
      <c r="AE32" s="139">
        <f>SUM(AE6:AE30)</f>
        <v>0.41149353785108606</v>
      </c>
      <c r="AF32" s="137"/>
      <c r="AG32" s="139">
        <f>SUM(AG6:AG30)</f>
        <v>0.36911391923340231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-181.70082586524268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39713.222226771242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3.2651284283848496E-2</v>
      </c>
      <c r="L38" s="22">
        <f t="shared" ref="L38:L64" si="34">(K38*H38)</f>
        <v>3.0822812363952977E-2</v>
      </c>
      <c r="M38" s="24">
        <f t="shared" ref="M38:M64" si="35">J38/B$65</f>
        <v>3.0822812363952977E-2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707.99999999999989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1.2189812799303439E-2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0.95864170657379189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708</v>
      </c>
      <c r="J65" s="39">
        <f>SUM(J37:J64)</f>
        <v>707.99999999999989</v>
      </c>
      <c r="K65" s="40">
        <f>SUM(K37:K64)</f>
        <v>1</v>
      </c>
      <c r="L65" s="22">
        <f>SUM(L37:L64)</f>
        <v>4.3012625163256414E-2</v>
      </c>
      <c r="M65" s="24">
        <f>SUM(M37:M64)</f>
        <v>3.0822812363952977E-2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707.99999999999989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707.99999999999989</v>
      </c>
      <c r="AJ65" s="153">
        <f>SUM(AJ37:AJ64)</f>
        <v>707.99999999999989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707.99999999999989</v>
      </c>
      <c r="J70" s="51">
        <f t="shared" ref="J70:J77" si="44">J124*I$83</f>
        <v>707.99999999999989</v>
      </c>
      <c r="K70" s="40">
        <f>B70/B$76</f>
        <v>0.744026231734081</v>
      </c>
      <c r="L70" s="22">
        <f t="shared" ref="L70:L74" si="45">(L124*G$37*F$9/F$7)/B$130</f>
        <v>4.3012625163256421E-2</v>
      </c>
      <c r="M70" s="24">
        <f>J70/B$76</f>
        <v>3.0822812363952977E-2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176.99999999999997</v>
      </c>
      <c r="AB70" s="156">
        <f>Poor!AB70</f>
        <v>0.25</v>
      </c>
      <c r="AC70" s="147">
        <f>$J70*AB70</f>
        <v>176.99999999999997</v>
      </c>
      <c r="AD70" s="156">
        <f>Poor!AD70</f>
        <v>0.25</v>
      </c>
      <c r="AE70" s="147">
        <f>$J70*AD70</f>
        <v>176.99999999999997</v>
      </c>
      <c r="AF70" s="156">
        <f>Poor!AF70</f>
        <v>0.25</v>
      </c>
      <c r="AG70" s="147">
        <f>$J70*AF70</f>
        <v>176.99999999999997</v>
      </c>
      <c r="AH70" s="155">
        <f>SUM(Z70,AB70,AD70,AF70)</f>
        <v>1</v>
      </c>
      <c r="AI70" s="147">
        <f>SUM(AA70,AC70,AE70,AG70)</f>
        <v>707.99999999999989</v>
      </c>
      <c r="AJ70" s="148">
        <f>(AA70+AC70)</f>
        <v>353.99999999999994</v>
      </c>
      <c r="AK70" s="147">
        <f>(AE70+AG70)</f>
        <v>353.99999999999994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0.60856189232332036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0.32983311848345043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530.99999999999989</v>
      </c>
      <c r="AB74" s="156"/>
      <c r="AC74" s="147">
        <f>AC30*$I$83/4</f>
        <v>-176.99999999999997</v>
      </c>
      <c r="AD74" s="156"/>
      <c r="AE74" s="147">
        <f>AE30*$I$83/4</f>
        <v>-176.99999999999997</v>
      </c>
      <c r="AF74" s="156"/>
      <c r="AG74" s="147">
        <f>AG30*$I$83/4</f>
        <v>-176.99999999999997</v>
      </c>
      <c r="AH74" s="155"/>
      <c r="AI74" s="147">
        <f>SUM(AA74,AC74,AE74,AG74)</f>
        <v>0</v>
      </c>
      <c r="AJ74" s="148">
        <f>(AA74+AC74)</f>
        <v>353.99999999999989</v>
      </c>
      <c r="AK74" s="147">
        <f>(AE74+AG74)</f>
        <v>-353.99999999999994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707.99999999999989</v>
      </c>
      <c r="J76" s="51">
        <f t="shared" si="44"/>
        <v>707.99999999999989</v>
      </c>
      <c r="K76" s="40">
        <f>SUM(K70:K75)</f>
        <v>2.8902575507689754</v>
      </c>
      <c r="L76" s="22">
        <f>SUM(L70:L75)</f>
        <v>4.3012625163256421E-2</v>
      </c>
      <c r="M76" s="24">
        <f>SUM(M70:M75)</f>
        <v>3.0822812363952977E-2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707.99999999999989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707.99999999999989</v>
      </c>
      <c r="AJ76" s="154">
        <f>SUM(AA76,AC76)</f>
        <v>707.99999999999989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39713.222226771242</v>
      </c>
      <c r="J77" s="100">
        <f t="shared" si="44"/>
        <v>39713.222226771242</v>
      </c>
      <c r="K77" s="40"/>
      <c r="L77" s="22">
        <f>-(L131*G$37*F$9/F$7)/B$130</f>
        <v>-1.7289169450052786</v>
      </c>
      <c r="M77" s="24">
        <f>-J77/B$76</f>
        <v>-1.7289169450052784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203.06098559965196</v>
      </c>
      <c r="AB77" s="112"/>
      <c r="AC77" s="111">
        <f>AC31*$I$83/4</f>
        <v>3426.3711730382847</v>
      </c>
      <c r="AD77" s="112"/>
      <c r="AE77" s="111">
        <f>AE31*$I$83/4</f>
        <v>3190.8400015750185</v>
      </c>
      <c r="AF77" s="112"/>
      <c r="AG77" s="111">
        <f>AG31*$I$83/4</f>
        <v>3420.6192666030056</v>
      </c>
      <c r="AH77" s="110"/>
      <c r="AI77" s="154">
        <f>SUM(AA77,AC77,AE77,AG77)</f>
        <v>10240.891426815961</v>
      </c>
      <c r="AJ77" s="153">
        <f>SUM(AA77,AC77)</f>
        <v>3629.4321586379365</v>
      </c>
      <c r="AK77" s="160">
        <f>SUM(AE77,AG77)</f>
        <v>6611.4592681780241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530.99999999999989</v>
      </c>
      <c r="AB79" s="112"/>
      <c r="AC79" s="112">
        <f>AA79-AA74+AC65-AC70</f>
        <v>-176.99999999999997</v>
      </c>
      <c r="AD79" s="112"/>
      <c r="AE79" s="112">
        <f>AC79-AC74+AE65-AE70</f>
        <v>-176.99999999999997</v>
      </c>
      <c r="AF79" s="112"/>
      <c r="AG79" s="112">
        <f>AE79-AE74+AG65-AG70</f>
        <v>-176.99999999999997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1.6752802771920638</v>
      </c>
      <c r="L101" s="22">
        <f t="shared" si="57"/>
        <v>0</v>
      </c>
      <c r="M101" s="228">
        <f t="shared" si="49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3.2645210586848904E-2</v>
      </c>
      <c r="J119" s="24">
        <f>SUM(J91:J118)</f>
        <v>3.2645210586848904E-2</v>
      </c>
      <c r="K119" s="22">
        <f>SUM(K91:K118)</f>
        <v>1.7475562201226933</v>
      </c>
      <c r="L119" s="22">
        <f>SUM(L91:L118)</f>
        <v>4.555574584718463E-2</v>
      </c>
      <c r="M119" s="57">
        <f t="shared" si="49"/>
        <v>3.2645210586848904E-2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3.2645210586848904E-2</v>
      </c>
      <c r="J124" s="238">
        <f>IF(SUMPRODUCT($B$124:$B124,$H$124:$H124)&lt;J$119,($B124*$H124),J$119)</f>
        <v>3.2645210586848904E-2</v>
      </c>
      <c r="K124" s="29">
        <f>(B124)</f>
        <v>1.3002276692013417</v>
      </c>
      <c r="L124" s="29">
        <f>IF(SUMPRODUCT($B$124:$B124,$H$124:$H124)&lt;L$119,($B124*$H124),L$119)</f>
        <v>4.555574584718463E-2</v>
      </c>
      <c r="M124" s="241">
        <f t="shared" si="66"/>
        <v>3.2645210586848904E-2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0.57640191780821914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3.2645210586848904E-2</v>
      </c>
      <c r="J130" s="229">
        <f>(J119)</f>
        <v>3.2645210586848904E-2</v>
      </c>
      <c r="K130" s="29">
        <f>(B130)</f>
        <v>1.7475562201226933</v>
      </c>
      <c r="L130" s="29">
        <f>(L119)</f>
        <v>4.555574584718463E-2</v>
      </c>
      <c r="M130" s="241">
        <f t="shared" si="66"/>
        <v>3.2645210586848904E-2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1.8311391280724236</v>
      </c>
      <c r="J131" s="238">
        <f>IF(SUMPRODUCT($B124:$B125,$H124:$H125)&gt;(J119-J128),SUMPRODUCT($B124:$B125,$H124:$H125)+J128-J119,0)</f>
        <v>1.8311391280724236</v>
      </c>
      <c r="K131" s="29"/>
      <c r="L131" s="29">
        <f>IF(I131&lt;SUM(L126:L127),0,I131-(SUM(L126:L127)))</f>
        <v>1.8311391280724236</v>
      </c>
      <c r="M131" s="238">
        <f>IF(I131&lt;SUM(M126:M127),0,I131-(SUM(M126:M127)))</f>
        <v>1.8311391280724236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1826.4386408042078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4.034869240348693E-2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4.034869240348693E-2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0.16139476961394772</v>
      </c>
      <c r="Z18" s="116">
        <v>1.2941</v>
      </c>
      <c r="AA18" s="121">
        <f t="shared" ref="AA18:AA20" si="25">$M18*Z18*4</f>
        <v>0.20886097135740975</v>
      </c>
      <c r="AB18" s="116">
        <v>1.1765000000000001</v>
      </c>
      <c r="AC18" s="121">
        <f t="shared" ref="AC18:AC20" si="26">$M18*AB18*4</f>
        <v>0.1898809464508095</v>
      </c>
      <c r="AD18" s="116">
        <v>1.2353000000000001</v>
      </c>
      <c r="AE18" s="121">
        <f t="shared" ref="AE18:AE20" si="27">$M18*AD18*4</f>
        <v>0.19937095890410964</v>
      </c>
      <c r="AF18" s="122">
        <f t="shared" ref="AF18:AF20" si="28">1-SUM(Z18,AB18,AD18)</f>
        <v>-2.7059000000000002</v>
      </c>
      <c r="AG18" s="121">
        <f t="shared" ref="AG18:AG20" si="29">$M18*AF18*4</f>
        <v>-0.43671810709838116</v>
      </c>
      <c r="AH18" s="123">
        <f t="shared" ref="AH18:AH20" si="30">SUM(Z18,AB18,AD18,AF18)</f>
        <v>1</v>
      </c>
      <c r="AI18" s="183">
        <f t="shared" ref="AI18:AI20" si="31">SUM(AA18,AC18,AE18,AG18)/4</f>
        <v>4.0348692403486916E-2</v>
      </c>
      <c r="AJ18" s="120">
        <f t="shared" ref="AJ18:AJ20" si="32">(AA18+AC18)/2</f>
        <v>0.19937095890410961</v>
      </c>
      <c r="AK18" s="119">
        <f t="shared" ref="AK18:AK20" si="33">(AE18+AG18)/2</f>
        <v>-0.11867357409713576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21788.261249801566</v>
      </c>
      <c r="T23" s="179">
        <f>SUM(T7:T22)</f>
        <v>21926.73100873729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0.64272333250311331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29139.55334318852</v>
      </c>
      <c r="T30" s="235">
        <f t="shared" si="50"/>
        <v>29001.083584252796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1.5946933615377024E-2</v>
      </c>
      <c r="AB30" s="122">
        <f>IF($Y30=0,0,AC30/($Y$30))</f>
        <v>0</v>
      </c>
      <c r="AC30" s="187">
        <f>IF(AC79*4/$I$83+SUM(AC6:AC29)&lt;1,AC79*4/$I$83,1-SUM(AC6:AC29))</f>
        <v>0.26262553005906664</v>
      </c>
      <c r="AD30" s="122">
        <f>IF($Y30=0,0,AE30/($Y$30))</f>
        <v>0</v>
      </c>
      <c r="AE30" s="187">
        <f>IF(AE79*4/$I$83+SUM(AE6:AE29)&lt;1,AE79*4/$I$83,1-SUM(AE6:AE29))</f>
        <v>-0.13928623183722205</v>
      </c>
      <c r="AF30" s="122">
        <f>IF($Y30=0,0,AG30/($Y$30))</f>
        <v>0</v>
      </c>
      <c r="AG30" s="187">
        <f>IF(AG79*4/$I$83+SUM(AG6:AG29)&lt;1,AG79*4/$I$83,1-SUM(AG6:AG29))</f>
        <v>-0.13928623183722205</v>
      </c>
      <c r="AH30" s="123">
        <f t="shared" si="12"/>
        <v>0</v>
      </c>
      <c r="AI30" s="183">
        <f t="shared" si="13"/>
        <v>-1.1102230246251565E-16</v>
      </c>
      <c r="AJ30" s="120">
        <f t="shared" si="14"/>
        <v>0.13928623183722183</v>
      </c>
      <c r="AK30" s="119">
        <f t="shared" si="15"/>
        <v>-0.13928623183722205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0.42374181005373324</v>
      </c>
      <c r="K31" s="22" t="str">
        <f t="shared" si="4"/>
        <v/>
      </c>
      <c r="L31" s="22">
        <f>(1-SUM(L6:L30))</f>
        <v>0.39964057464952862</v>
      </c>
      <c r="M31" s="178">
        <f t="shared" si="6"/>
        <v>0.42374181005373324</v>
      </c>
      <c r="N31" s="167">
        <f>M31*I83</f>
        <v>11487.489134122083</v>
      </c>
      <c r="P31" s="22"/>
      <c r="Q31" s="239" t="s">
        <v>142</v>
      </c>
      <c r="R31" s="235">
        <f t="shared" si="50"/>
        <v>4408.6464104952902</v>
      </c>
      <c r="S31" s="235">
        <f t="shared" si="50"/>
        <v>49758.086676521852</v>
      </c>
      <c r="T31" s="235">
        <f>IF(T25&gt;T$23,T25-T$23,0)</f>
        <v>49619.616917586129</v>
      </c>
      <c r="U31" s="243"/>
      <c r="V31" s="56"/>
      <c r="W31" s="129" t="s">
        <v>84</v>
      </c>
      <c r="X31" s="130"/>
      <c r="Y31" s="121">
        <f>M31*4</f>
        <v>1.6949672402149329</v>
      </c>
      <c r="Z31" s="131"/>
      <c r="AA31" s="132">
        <f>1-AA32+IF($Y32&lt;0,$Y32/4,0)</f>
        <v>0</v>
      </c>
      <c r="AB31" s="131"/>
      <c r="AC31" s="133">
        <f>1-AC32+IF($Y32&lt;0,$Y32/4,0)</f>
        <v>0.17064305870782548</v>
      </c>
      <c r="AD31" s="134"/>
      <c r="AE31" s="133">
        <f>1-AE32+IF($Y32&lt;0,$Y32/4,0)</f>
        <v>0.50878268916575808</v>
      </c>
      <c r="AF31" s="134"/>
      <c r="AG31" s="133">
        <f>1-AG32+IF($Y32&lt;0,$Y32/4,0)</f>
        <v>1.0155414923413497</v>
      </c>
      <c r="AH31" s="123"/>
      <c r="AI31" s="182">
        <f>SUM(AA31,AC31,AE31,AG31)/4</f>
        <v>0.42374181005373335</v>
      </c>
      <c r="AJ31" s="135">
        <f t="shared" si="14"/>
        <v>8.532152935391274E-2</v>
      </c>
      <c r="AK31" s="136">
        <f t="shared" si="15"/>
        <v>0.7621620907535539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0.57625818994626676</v>
      </c>
      <c r="J32" s="17"/>
      <c r="L32" s="22">
        <f>SUM(L6:L30)</f>
        <v>0.60035942535047138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90680.486676521847</v>
      </c>
      <c r="T32" s="235">
        <f t="shared" si="50"/>
        <v>90542.016917586123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0.82935694129217452</v>
      </c>
      <c r="AD32" s="137"/>
      <c r="AE32" s="139">
        <f>SUM(AE6:AE30)</f>
        <v>0.49121731083424197</v>
      </c>
      <c r="AF32" s="137"/>
      <c r="AG32" s="139">
        <f>SUM(AG6:AG30)</f>
        <v>-1.5541492341349744E-2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-17.520868961323394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38132.127783464035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0.27862259500639958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854.81412147963374</v>
      </c>
      <c r="AB37" s="122">
        <f>IF($J37=0,0,AC37/($J37))</f>
        <v>0.72137740499360048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2213.1858785203658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3067.9999999999995</v>
      </c>
      <c r="AJ37" s="148">
        <f>(AA37+AC37)</f>
        <v>3067.9999999999995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0.27862259500639958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197.2647972645309</v>
      </c>
      <c r="AB38" s="122">
        <f>IF($J38=0,0,AC38/($J38))</f>
        <v>0.72137740499360048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510.7352027354691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708</v>
      </c>
      <c r="AJ38" s="148">
        <f t="shared" ref="AJ38:AJ64" si="62">(AA38+AC38)</f>
        <v>708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0.70325724544755064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12394.4</v>
      </c>
      <c r="J65" s="39">
        <f>SUM(J37:J64)</f>
        <v>12394.399999999998</v>
      </c>
      <c r="K65" s="40">
        <f>SUM(K37:K64)</f>
        <v>1</v>
      </c>
      <c r="L65" s="22">
        <f>SUM(L37:L64)</f>
        <v>0.32327263400872019</v>
      </c>
      <c r="M65" s="24">
        <f>SUM(M37:M64)</f>
        <v>0.3178866375993844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3206.6789187441645</v>
      </c>
      <c r="AB65" s="137"/>
      <c r="AC65" s="153">
        <f>SUM(AC37:AC64)</f>
        <v>4878.5210812558344</v>
      </c>
      <c r="AD65" s="137"/>
      <c r="AE65" s="153">
        <f>SUM(AE37:AE64)</f>
        <v>2154.6</v>
      </c>
      <c r="AF65" s="137"/>
      <c r="AG65" s="153">
        <f>SUM(AG37:AG64)</f>
        <v>2154.6</v>
      </c>
      <c r="AH65" s="137"/>
      <c r="AI65" s="153">
        <f>SUM(AI37:AI64)</f>
        <v>12394.399999999998</v>
      </c>
      <c r="AJ65" s="153">
        <f>SUM(AJ37:AJ64)</f>
        <v>8085.1999999999989</v>
      </c>
      <c r="AK65" s="153">
        <f>SUM(AK37:AK64)</f>
        <v>4309.2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12394.400000000001</v>
      </c>
      <c r="J70" s="51">
        <f t="shared" ref="J70:J77" si="75">J124*I$83</f>
        <v>12394.400000000001</v>
      </c>
      <c r="K70" s="40">
        <f>B70/B$76</f>
        <v>0.54790595482597571</v>
      </c>
      <c r="L70" s="22">
        <f t="shared" ref="L70:L75" si="76">(L124*G$37*F$9/F$7)/B$130</f>
        <v>0.32327263400872025</v>
      </c>
      <c r="M70" s="24">
        <f>J70/B$76</f>
        <v>0.31788663759938451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3098.6000000000004</v>
      </c>
      <c r="AB70" s="116">
        <v>0.25</v>
      </c>
      <c r="AC70" s="147">
        <f>$J70*AB70</f>
        <v>3098.6000000000004</v>
      </c>
      <c r="AD70" s="116">
        <v>0.25</v>
      </c>
      <c r="AE70" s="147">
        <f>$J70*AD70</f>
        <v>3098.6000000000004</v>
      </c>
      <c r="AF70" s="122">
        <f>1-SUM(Z70,AB70,AD70)</f>
        <v>0.25</v>
      </c>
      <c r="AG70" s="147">
        <f>$J70*AF70</f>
        <v>3098.6000000000004</v>
      </c>
      <c r="AH70" s="155">
        <f>SUM(Z70,AB70,AD70,AF70)</f>
        <v>1</v>
      </c>
      <c r="AI70" s="147">
        <f>SUM(AA70,AC70,AE70,AG70)</f>
        <v>12394.400000000001</v>
      </c>
      <c r="AJ70" s="148">
        <f>(AA70+AC70)</f>
        <v>6197.2000000000007</v>
      </c>
      <c r="AK70" s="147">
        <f>(AE70+AG70)</f>
        <v>6197.2000000000007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0.44814909805933151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0.27083867658373945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108.07891874416406</v>
      </c>
      <c r="AB74" s="156"/>
      <c r="AC74" s="147">
        <f>AC30*$I$83/4</f>
        <v>1779.921081255834</v>
      </c>
      <c r="AD74" s="156"/>
      <c r="AE74" s="147">
        <f>AE30*$I$83/4</f>
        <v>-944.00000000000045</v>
      </c>
      <c r="AF74" s="156"/>
      <c r="AG74" s="147">
        <f>AG30*$I$83/4</f>
        <v>-944.00000000000045</v>
      </c>
      <c r="AH74" s="155"/>
      <c r="AI74" s="147">
        <f>SUM(AA74,AC74,AE74,AG74)</f>
        <v>-2.9558577807620168E-12</v>
      </c>
      <c r="AJ74" s="148">
        <f>(AA74+AC74)</f>
        <v>1887.999999999998</v>
      </c>
      <c r="AK74" s="147">
        <f>(AE74+AG74)</f>
        <v>-1888.0000000000009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1.2789769243681803E-13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12394.400000000001</v>
      </c>
      <c r="J76" s="51">
        <f t="shared" si="75"/>
        <v>12394.400000000001</v>
      </c>
      <c r="K76" s="40">
        <f>SUM(K70:K75)</f>
        <v>2.1696893180815113</v>
      </c>
      <c r="L76" s="22">
        <f>SUM(L70:L75)</f>
        <v>0.32327263400872025</v>
      </c>
      <c r="M76" s="24">
        <f>SUM(M70:M75)</f>
        <v>0.31788663759938451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3206.6789187441645</v>
      </c>
      <c r="AB76" s="137"/>
      <c r="AC76" s="153">
        <f>AC65</f>
        <v>4878.5210812558344</v>
      </c>
      <c r="AD76" s="137"/>
      <c r="AE76" s="153">
        <f>AE65</f>
        <v>2154.6</v>
      </c>
      <c r="AF76" s="137"/>
      <c r="AG76" s="153">
        <f>AG65</f>
        <v>2154.6</v>
      </c>
      <c r="AH76" s="137"/>
      <c r="AI76" s="153">
        <f>SUM(AA76,AC76,AE76,AG76)</f>
        <v>12394.4</v>
      </c>
      <c r="AJ76" s="154">
        <f>SUM(AA76,AC76)</f>
        <v>8085.1999999999989</v>
      </c>
      <c r="AK76" s="154">
        <f>SUM(AE76,AG76)</f>
        <v>4309.2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38132.127783464035</v>
      </c>
      <c r="J77" s="100">
        <f t="shared" si="75"/>
        <v>38132.127783464035</v>
      </c>
      <c r="K77" s="40"/>
      <c r="L77" s="22">
        <f>-(L131*G$37*F$9/F$7)/B$130</f>
        <v>-0.97799763486699254</v>
      </c>
      <c r="M77" s="24">
        <f>-J77/B$76</f>
        <v>-0.97799763486699243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1156.5180943974633</v>
      </c>
      <c r="AD77" s="112"/>
      <c r="AE77" s="111">
        <f>AE31*$I$83/4</f>
        <v>3448.2292487729264</v>
      </c>
      <c r="AF77" s="112"/>
      <c r="AG77" s="111">
        <f>AG31*$I$83/4</f>
        <v>6882.7417909516944</v>
      </c>
      <c r="AH77" s="110"/>
      <c r="AI77" s="154">
        <f>SUM(AA77,AC77,AE77,AG77)</f>
        <v>11487.489134122083</v>
      </c>
      <c r="AJ77" s="153">
        <f>SUM(AA77,AC77)</f>
        <v>1156.5180943974633</v>
      </c>
      <c r="AK77" s="160">
        <f>SUM(AE77,AG77)</f>
        <v>10330.97103972462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1.2789769243681803E-13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108.07891874416418</v>
      </c>
      <c r="AB79" s="112"/>
      <c r="AC79" s="112">
        <f>AA79-AA74+AC65-AC70</f>
        <v>1779.921081255834</v>
      </c>
      <c r="AD79" s="112"/>
      <c r="AE79" s="112">
        <f>AC79-AC74+AE65-AE70</f>
        <v>-944.00000000000045</v>
      </c>
      <c r="AF79" s="112"/>
      <c r="AG79" s="112">
        <f>AE79-AE74+AG65-AG70</f>
        <v>-944.00000000000045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1.6688895622381974</v>
      </c>
      <c r="L101" s="22">
        <f t="shared" si="91"/>
        <v>0</v>
      </c>
      <c r="M101" s="228">
        <f t="shared" si="9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0.45719525208772888</v>
      </c>
      <c r="J119" s="24">
        <f>SUM(J91:J118)</f>
        <v>0.45719525208772888</v>
      </c>
      <c r="K119" s="22">
        <f>SUM(K91:K118)</f>
        <v>2.3730854862023092</v>
      </c>
      <c r="L119" s="22">
        <f>SUM(L91:L118)</f>
        <v>0.46494157324393032</v>
      </c>
      <c r="M119" s="57">
        <f t="shared" si="80"/>
        <v>0.45719525208772888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0.45719525208772888</v>
      </c>
      <c r="J124" s="238">
        <f>IF(SUMPRODUCT($B$124:$B124,$H$124:$H124)&lt;J$119,($B124*$H124),J$119)</f>
        <v>0.45719525208772888</v>
      </c>
      <c r="K124" s="29">
        <f>(B124)</f>
        <v>1.300227669201341</v>
      </c>
      <c r="L124" s="29">
        <f>IF(SUMPRODUCT($B$124:$B124,$H$124:$H124)&lt;L$119,($B124*$H124),L$119)</f>
        <v>0.46494157324393032</v>
      </c>
      <c r="M124" s="241">
        <f t="shared" si="93"/>
        <v>0.45719525208772888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0.64272333250311331</v>
      </c>
      <c r="L128" s="29">
        <f>IF(L124=L119,0,(L119-L124)/(B119-B124)*K128)</f>
        <v>0</v>
      </c>
      <c r="M128" s="241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0.45719525208772888</v>
      </c>
      <c r="J130" s="229">
        <f>(J119)</f>
        <v>0.45719525208772888</v>
      </c>
      <c r="K130" s="29">
        <f>(B130)</f>
        <v>2.3730854862023092</v>
      </c>
      <c r="L130" s="29">
        <f>(L119)</f>
        <v>0.46494157324393032</v>
      </c>
      <c r="M130" s="241">
        <f t="shared" si="93"/>
        <v>0.45719525208772888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1.4065890865715427</v>
      </c>
      <c r="J131" s="238">
        <f>IF(SUMPRODUCT($B124:$B125,$H124:$H125)&gt;(J119-J128),SUMPRODUCT($B124:$B125,$H124:$H125)+J128-J119,0)</f>
        <v>1.4065890865715427</v>
      </c>
      <c r="K131" s="29"/>
      <c r="L131" s="29">
        <f>IF(I131&lt;SUM(L126:L127),0,I131-(SUM(L126:L127)))</f>
        <v>1.4065890865715427</v>
      </c>
      <c r="M131" s="238">
        <f>IF(I131&lt;SUM(M126:M127),0,I131-(SUM(M126:M127)))</f>
        <v>1.4065890865715427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6403.0916931749625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0.71365842576689065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6.9639131351331846E-2</v>
      </c>
      <c r="AB8" s="125">
        <f>IF($Y8=0,0,AC8/$Y8)</f>
        <v>0.28634157423310935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2.7941348100722949E-2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0.71365842576689076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8.0881288253580957E-2</v>
      </c>
      <c r="AB9" s="125">
        <f>IF($Y9=0,0,AC9/$Y9)</f>
        <v>0.28634157423310924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3.2452045079752384E-2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0.71365842576689065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0.32717316632913057</v>
      </c>
      <c r="AB10" s="125">
        <f>IF($Y10=0,0,AC10/$Y10)</f>
        <v>0.28634157423310941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0.13127187476675978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10281.921869904705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0.71365842576689076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0.14015682688297734</v>
      </c>
      <c r="AB11" s="125">
        <f>IF($Y11=0,0,AC11/$Y11)</f>
        <v>0.2863415742331093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5.6235203004942946E-2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2.2937507831514263E-2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2.2937507831514263E-2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416.99030334649797</v>
      </c>
      <c r="U12" s="224">
        <v>6</v>
      </c>
      <c r="V12" s="56"/>
      <c r="W12" s="117"/>
      <c r="X12" s="118"/>
      <c r="Y12" s="183">
        <f t="shared" si="9"/>
        <v>9.1750031326057052E-2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6.1472520988458228E-2</v>
      </c>
      <c r="AF12" s="122">
        <f>1-SUM(Z12,AB12,AD12)</f>
        <v>0.32999999999999996</v>
      </c>
      <c r="AG12" s="121">
        <f>$M12*AF12*4</f>
        <v>3.0277510337598824E-2</v>
      </c>
      <c r="AH12" s="123">
        <f t="shared" si="12"/>
        <v>1</v>
      </c>
      <c r="AI12" s="183">
        <f t="shared" si="13"/>
        <v>2.2937507831514263E-2</v>
      </c>
      <c r="AJ12" s="120">
        <f t="shared" si="14"/>
        <v>0</v>
      </c>
      <c r="AK12" s="119">
        <f t="shared" si="15"/>
        <v>4.5875015663028526E-2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1.5381622898780149E-2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1.5381622898780149E-2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81778.598974945926</v>
      </c>
      <c r="T23" s="179">
        <f>SUM(T7:T22)</f>
        <v>81869.099481459212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1.4335807170581652E-2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1.4335807170581652E-2</v>
      </c>
      <c r="N28" s="230"/>
      <c r="O28" s="2"/>
      <c r="P28" s="22"/>
      <c r="U28" s="56"/>
      <c r="V28" s="56"/>
      <c r="W28" s="110"/>
      <c r="X28" s="118"/>
      <c r="Y28" s="183">
        <f t="shared" si="9"/>
        <v>5.7343228682326608E-2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2.8671614341163304E-2</v>
      </c>
      <c r="AF28" s="122">
        <f t="shared" si="10"/>
        <v>0.5</v>
      </c>
      <c r="AG28" s="121">
        <f t="shared" si="11"/>
        <v>2.8671614341163304E-2</v>
      </c>
      <c r="AH28" s="123">
        <f t="shared" si="12"/>
        <v>1</v>
      </c>
      <c r="AI28" s="183">
        <f t="shared" si="13"/>
        <v>1.4335807170581652E-2</v>
      </c>
      <c r="AJ28" s="120">
        <f t="shared" si="14"/>
        <v>0</v>
      </c>
      <c r="AK28" s="119">
        <f t="shared" si="15"/>
        <v>2.8671614341163304E-2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0.19938436036028401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0.19938436036028401</v>
      </c>
      <c r="N29" s="230"/>
      <c r="P29" s="22"/>
      <c r="V29" s="56"/>
      <c r="W29" s="110"/>
      <c r="X29" s="118"/>
      <c r="Y29" s="183">
        <f t="shared" si="9"/>
        <v>0.79753744144113603</v>
      </c>
      <c r="Z29" s="156">
        <f>Poor!Z29</f>
        <v>0.25</v>
      </c>
      <c r="AA29" s="121">
        <f t="shared" si="16"/>
        <v>0.19938436036028401</v>
      </c>
      <c r="AB29" s="156">
        <f>Poor!AB29</f>
        <v>0.25</v>
      </c>
      <c r="AC29" s="121">
        <f t="shared" si="7"/>
        <v>0.19938436036028401</v>
      </c>
      <c r="AD29" s="156">
        <f>Poor!AD29</f>
        <v>0.25</v>
      </c>
      <c r="AE29" s="121">
        <f t="shared" si="8"/>
        <v>0.19938436036028401</v>
      </c>
      <c r="AF29" s="122">
        <f t="shared" si="10"/>
        <v>0.25</v>
      </c>
      <c r="AG29" s="121">
        <f t="shared" si="11"/>
        <v>0.19938436036028401</v>
      </c>
      <c r="AH29" s="123">
        <f t="shared" si="12"/>
        <v>1</v>
      </c>
      <c r="AI29" s="183">
        <f t="shared" si="13"/>
        <v>0.19938436036028401</v>
      </c>
      <c r="AJ29" s="120">
        <f t="shared" si="14"/>
        <v>0.19938436036028401</v>
      </c>
      <c r="AK29" s="119">
        <f t="shared" si="15"/>
        <v>0.19938436036028401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1.4513902829384555</v>
      </c>
      <c r="J30" s="232">
        <f>IF(I$32&lt;=1,I30,1-SUM(J6:J29))</f>
        <v>0.30849740600096554</v>
      </c>
      <c r="K30" s="22">
        <f t="shared" si="4"/>
        <v>0.70110216687422167</v>
      </c>
      <c r="L30" s="22">
        <f>IF(L124=L119,0,IF(K30="",0,(L119-L124)/(B119-B124)*K30))</f>
        <v>0.21285768097234498</v>
      </c>
      <c r="M30" s="175">
        <f t="shared" si="6"/>
        <v>0.30849740600096554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1.2339896240038621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0.27032163294465439</v>
      </c>
      <c r="AC30" s="187">
        <f>IF(AC79*4/$I$84+SUM(AC6:AC29)&lt;1,AC79*4/$I$84,1-SUM(AC6:AC29))</f>
        <v>0.33357409019748407</v>
      </c>
      <c r="AD30" s="122">
        <f>IF($Y30=0,0,AE30/($Y$30))</f>
        <v>0.41373743685211362</v>
      </c>
      <c r="AE30" s="187">
        <f>IF(AE79*4/$I$84+SUM(AE6:AE29)&lt;1,AE79*4/$I$84,1-SUM(AE6:AE29))</f>
        <v>0.51054770413746131</v>
      </c>
      <c r="AF30" s="122">
        <f>IF($Y30=0,0,AG30/($Y$30))</f>
        <v>0.3658007429587789</v>
      </c>
      <c r="AG30" s="187">
        <f>IF(AG79*4/$I$84+SUM(AG6:AG29)&lt;1,AG79*4/$I$84,1-SUM(AG6:AG29))</f>
        <v>0.451394321264037</v>
      </c>
      <c r="AH30" s="123">
        <f t="shared" si="12"/>
        <v>1.049859812755547</v>
      </c>
      <c r="AI30" s="183">
        <f t="shared" si="13"/>
        <v>0.32387902889974562</v>
      </c>
      <c r="AJ30" s="120">
        <f t="shared" si="14"/>
        <v>0.16678704509874204</v>
      </c>
      <c r="AK30" s="119">
        <f t="shared" si="15"/>
        <v>0.48097101270074916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9.8724028022034505E-2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2.1617641384215647</v>
      </c>
      <c r="J32" s="17"/>
      <c r="L32" s="22">
        <f>SUM(L6:L30)</f>
        <v>0.9012759719779655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30690.148951377501</v>
      </c>
      <c r="T32" s="235">
        <f t="shared" si="24"/>
        <v>30599.648444864215</v>
      </c>
      <c r="U32" s="56"/>
      <c r="V32" s="56"/>
      <c r="W32" s="110"/>
      <c r="X32" s="118"/>
      <c r="Y32" s="115">
        <f>SUM(Y6:Y31)</f>
        <v>3.9384735084048796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0.14047933026620371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757.72968291423604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8.49377516998359E-3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757.72968291423604</v>
      </c>
      <c r="AH38" s="123">
        <f t="shared" ref="AH38:AI58" si="37">SUM(Z38,AB38,AD38,AF38)</f>
        <v>1</v>
      </c>
      <c r="AI38" s="112">
        <f t="shared" si="37"/>
        <v>757.72968291423604</v>
      </c>
      <c r="AJ38" s="148">
        <f t="shared" ref="AJ38:AJ64" si="38">(AA38+AC38)</f>
        <v>0</v>
      </c>
      <c r="AK38" s="147">
        <f t="shared" ref="AK38:AK64" si="39">(AE38+AG38)</f>
        <v>757.72968291423604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0.71365842576689065</v>
      </c>
      <c r="AA39" s="147">
        <f t="shared" ref="AA39:AA64" si="40">$J39*Z39</f>
        <v>0</v>
      </c>
      <c r="AB39" s="122">
        <f>AB8</f>
        <v>0.28634157423310935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0.71365842576689076</v>
      </c>
      <c r="AA40" s="147">
        <f t="shared" si="40"/>
        <v>0</v>
      </c>
      <c r="AB40" s="122">
        <f>AB9</f>
        <v>0.28634157423310924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0.71365842576689076</v>
      </c>
      <c r="AA41" s="147">
        <f t="shared" si="40"/>
        <v>0</v>
      </c>
      <c r="AB41" s="122">
        <f>AB11</f>
        <v>0.2863415742331093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0.30736464521914586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62329.2</v>
      </c>
      <c r="J65" s="39">
        <f>SUM(J37:J64)</f>
        <v>62024.929682914226</v>
      </c>
      <c r="K65" s="40">
        <f>SUM(K37:K64)</f>
        <v>1</v>
      </c>
      <c r="L65" s="22">
        <f>SUM(L37:L64)</f>
        <v>0.69471135522923444</v>
      </c>
      <c r="M65" s="24">
        <f>SUM(M37:M64)</f>
        <v>0.69526880039137129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13192.799999999997</v>
      </c>
      <c r="AB65" s="137"/>
      <c r="AC65" s="153">
        <f>SUM(AC37:AC64)</f>
        <v>13192.799999999997</v>
      </c>
      <c r="AD65" s="137"/>
      <c r="AE65" s="153">
        <f>SUM(AE37:AE64)</f>
        <v>13192.799999999997</v>
      </c>
      <c r="AF65" s="137"/>
      <c r="AG65" s="153">
        <f>SUM(AG37:AG64)</f>
        <v>22446.529682914232</v>
      </c>
      <c r="AH65" s="137"/>
      <c r="AI65" s="153">
        <f>SUM(AI37:AI64)</f>
        <v>62024.929682914226</v>
      </c>
      <c r="AJ65" s="153">
        <f>SUM(AJ37:AJ64)</f>
        <v>26385.599999999995</v>
      </c>
      <c r="AK65" s="153">
        <f>SUM(AK37:AK64)</f>
        <v>35639.329682914227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9024.1256287079614</v>
      </c>
      <c r="K72" s="40">
        <f t="shared" si="47"/>
        <v>0.3498710906849008</v>
      </c>
      <c r="L72" s="22">
        <f t="shared" si="45"/>
        <v>0.12675573204138363</v>
      </c>
      <c r="M72" s="24">
        <f t="shared" si="48"/>
        <v>0.10115598731877549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35412.004994882358</v>
      </c>
      <c r="J74" s="51">
        <f t="shared" si="44"/>
        <v>7526.9290490886406</v>
      </c>
      <c r="K74" s="40">
        <f>B74/B$76</f>
        <v>0.11621177416029714</v>
      </c>
      <c r="L74" s="22">
        <f t="shared" si="45"/>
        <v>5.8215963899456637E-2</v>
      </c>
      <c r="M74" s="24">
        <f>J74/B$76</f>
        <v>8.4373153784201779E-2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3822.3448691856343</v>
      </c>
      <c r="AD74" s="156"/>
      <c r="AE74" s="147">
        <f>AE30*$I$84/4</f>
        <v>5850.2427338676116</v>
      </c>
      <c r="AF74" s="156"/>
      <c r="AG74" s="147">
        <f>AG30*$I$84/4</f>
        <v>5172.4184178742826</v>
      </c>
      <c r="AH74" s="155"/>
      <c r="AI74" s="147">
        <f>SUM(AA74,AC74,AE74,AG74)</f>
        <v>14845.006020927529</v>
      </c>
      <c r="AJ74" s="148">
        <f>(AA74+AC74)</f>
        <v>3822.3448691856343</v>
      </c>
      <c r="AK74" s="147">
        <f>(AE74+AG74)</f>
        <v>11022.661151741893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0.12395672868917798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19427.37594200077</v>
      </c>
      <c r="AB75" s="158"/>
      <c r="AC75" s="149">
        <f>AA75+AC65-SUM(AC70,AC74)</f>
        <v>22068.53232153572</v>
      </c>
      <c r="AD75" s="158"/>
      <c r="AE75" s="149">
        <f>AC75+AE65-SUM(AE70,AE74)</f>
        <v>22681.790836388696</v>
      </c>
      <c r="AF75" s="158"/>
      <c r="AG75" s="149">
        <f>IF(SUM(AG6:AG29)+((AG65-AG70-$J$75)*4/I$83)&lt;1,0,AG65-AG70-$J$75-(1-SUM(AG6:AG29))*I$83/4)</f>
        <v>12963.874693280182</v>
      </c>
      <c r="AH75" s="134"/>
      <c r="AI75" s="149">
        <f>AI76-SUM(AI70,AI74)</f>
        <v>20262.728656869062</v>
      </c>
      <c r="AJ75" s="151">
        <f>AJ76-SUM(AJ70,AJ74)</f>
        <v>9104.6576282555397</v>
      </c>
      <c r="AK75" s="149">
        <f>AJ75+AK76-SUM(AK70,AK74)</f>
        <v>20262.728656869054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62329.2</v>
      </c>
      <c r="J76" s="51">
        <f t="shared" si="44"/>
        <v>62024.92968291424</v>
      </c>
      <c r="K76" s="40">
        <f>SUM(K70:K75)</f>
        <v>0.99999999999999989</v>
      </c>
      <c r="L76" s="22">
        <f>SUM(L70:L75)</f>
        <v>0.69471135522923433</v>
      </c>
      <c r="M76" s="24">
        <f>SUM(M70:M75)</f>
        <v>0.6952688003913714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13192.799999999997</v>
      </c>
      <c r="AB76" s="137"/>
      <c r="AC76" s="153">
        <f>AC65</f>
        <v>13192.799999999997</v>
      </c>
      <c r="AD76" s="137"/>
      <c r="AE76" s="153">
        <f>AE65</f>
        <v>13192.799999999997</v>
      </c>
      <c r="AF76" s="137"/>
      <c r="AG76" s="153">
        <f>AG65</f>
        <v>22446.529682914232</v>
      </c>
      <c r="AH76" s="137"/>
      <c r="AI76" s="153">
        <f>SUM(AA76,AC76,AE76,AG76)</f>
        <v>62024.929682914226</v>
      </c>
      <c r="AJ76" s="154">
        <f>SUM(AA76,AC76)</f>
        <v>26385.599999999995</v>
      </c>
      <c r="AK76" s="154">
        <f>SUM(AE76,AG76)</f>
        <v>35639.329682914227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-8.1255477464277262E-2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12963.874693280182</v>
      </c>
      <c r="AB78" s="112"/>
      <c r="AC78" s="112">
        <f>IF(AA75&lt;0,0,AA75)</f>
        <v>19427.37594200077</v>
      </c>
      <c r="AD78" s="112"/>
      <c r="AE78" s="112">
        <f>AC75</f>
        <v>22068.53232153572</v>
      </c>
      <c r="AF78" s="112"/>
      <c r="AG78" s="112">
        <f>AE75</f>
        <v>22681.790836388696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19427.37594200077</v>
      </c>
      <c r="AB79" s="112"/>
      <c r="AC79" s="112">
        <f>AA79-AA74+AC65-AC70</f>
        <v>25890.877190721356</v>
      </c>
      <c r="AD79" s="112"/>
      <c r="AE79" s="112">
        <f>AC79-AC74+AE65-AE70</f>
        <v>28532.033570256306</v>
      </c>
      <c r="AF79" s="112"/>
      <c r="AG79" s="112">
        <f>AE79-AE74+AG65-AG70</f>
        <v>38399.021768023522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3.1056177108150011E-2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3.1056177108150011E-2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1.8543217358202195</v>
      </c>
      <c r="L101" s="22">
        <f t="shared" si="61"/>
        <v>0</v>
      </c>
      <c r="M101" s="228">
        <f t="shared" si="62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2.5546137598365632</v>
      </c>
      <c r="J119" s="24">
        <f>SUM(J91:J118)</f>
        <v>2.5421429894955816</v>
      </c>
      <c r="K119" s="22">
        <f>SUM(K91:K118)</f>
        <v>6.0329701696762132</v>
      </c>
      <c r="L119" s="22">
        <f>SUM(L91:L118)</f>
        <v>2.5401047773535192</v>
      </c>
      <c r="M119" s="57">
        <f t="shared" si="49"/>
        <v>2.5421429894955816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0.36986124483534422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0.46346275772190237</v>
      </c>
      <c r="M126" s="57">
        <f t="shared" si="65"/>
        <v>0.36986124483534422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1.4513902829384555</v>
      </c>
      <c r="J128" s="229">
        <f>(J30)</f>
        <v>0.30849740600096554</v>
      </c>
      <c r="K128" s="22">
        <f>(B128)</f>
        <v>0.70110216687422167</v>
      </c>
      <c r="L128" s="22">
        <f>IF(L124=L119,0,(L119-L124)/(B119-B124)*K128)</f>
        <v>0.21285768097234498</v>
      </c>
      <c r="M128" s="57">
        <f t="shared" si="63"/>
        <v>0.30849740600096554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0.74782724651245847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2.5546137598365632</v>
      </c>
      <c r="J130" s="229">
        <f>(J119)</f>
        <v>2.5421429894955816</v>
      </c>
      <c r="K130" s="22">
        <f>(B130)</f>
        <v>6.0329701696762132</v>
      </c>
      <c r="L130" s="22">
        <f>(L119)</f>
        <v>2.5401047773535192</v>
      </c>
      <c r="M130" s="57">
        <f t="shared" si="63"/>
        <v>2.5421429894955816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0.29709810403926218</v>
      </c>
      <c r="M131" s="238">
        <f>IF(I131&lt;SUM(M126:M127),0,I131-(SUM(M126:M127)))</f>
        <v>0.39069961692582034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9129.3376125687046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26908.309066778391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0.42859548280982324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5.1537179045843248E-2</v>
      </c>
      <c r="AB8" s="125">
        <f>IF($Y8=0,0,AC8/$Y8)</f>
        <v>0.42521365428239344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5.1130525431162421E-2</v>
      </c>
      <c r="AD8" s="125">
        <f>IF($Y8=0,0,AE8/$Y8)</f>
        <v>0.14619086290778333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1.7578964265211036E-2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3.0061667185554176E-2</v>
      </c>
      <c r="AJ8" s="120">
        <f t="shared" si="14"/>
        <v>5.1333852238502835E-2</v>
      </c>
      <c r="AK8" s="119">
        <f t="shared" si="15"/>
        <v>8.7894821326055181E-3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0.42859548280982324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4.8574154718446637E-2</v>
      </c>
      <c r="AB9" s="125">
        <f>IF($Y9=0,0,AC9/$Y9)</f>
        <v>0.42521365428239344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4.8190880818671261E-2</v>
      </c>
      <c r="AD9" s="125">
        <f>IF($Y9=0,0,AE9/$Y9)</f>
        <v>0.14619086290778324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1.6568297796215437E-2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4.8382517768558952E-2</v>
      </c>
      <c r="AK9" s="119">
        <f t="shared" si="15"/>
        <v>8.2841488981077183E-3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0.20226053160527385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0.20226053160527385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0.80904212642109541</v>
      </c>
      <c r="Z10" s="125">
        <f>IF($Y10=0,0,AA10/$Y10)</f>
        <v>0.42859548280982318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0.3467518007869354</v>
      </c>
      <c r="AB10" s="125">
        <f>IF($Y10=0,0,AC10/$Y10)</f>
        <v>0.42521365428239344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0.34401575904391213</v>
      </c>
      <c r="AD10" s="125">
        <f>IF($Y10=0,0,AE10/$Y10)</f>
        <v>0.14619086290778333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0.11827456659024788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0.20226053160527385</v>
      </c>
      <c r="AJ10" s="120">
        <f t="shared" si="14"/>
        <v>0.34538377991542379</v>
      </c>
      <c r="AK10" s="119">
        <f t="shared" si="15"/>
        <v>5.9137283295123938E-2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31835.152620816931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0.42859548280982324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0.1212087410925328</v>
      </c>
      <c r="AB11" s="125">
        <f>IF($Y11=0,0,AC11/$Y11)</f>
        <v>0.42521365428239344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0.12025234468883467</v>
      </c>
      <c r="AD11" s="125">
        <f>IF($Y11=0,0,AE11/$Y11)</f>
        <v>0.14619086290778335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4.1343437257237797E-2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0.12073054289068373</v>
      </c>
      <c r="AK11" s="119">
        <f t="shared" si="15"/>
        <v>2.0671718628618899E-2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1.967453169861668E-2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1.967453169861668E-2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7.8698126794466722E-2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5.272774495229271E-2</v>
      </c>
      <c r="AF12" s="122">
        <f>1-SUM(Z12,AB12,AD12)</f>
        <v>0.32999999999999996</v>
      </c>
      <c r="AG12" s="121">
        <f>$M12*AF12*4</f>
        <v>2.5970381842174015E-2</v>
      </c>
      <c r="AH12" s="123">
        <f t="shared" si="12"/>
        <v>1</v>
      </c>
      <c r="AI12" s="183">
        <f t="shared" si="13"/>
        <v>1.967453169861668E-2</v>
      </c>
      <c r="AJ12" s="120">
        <f t="shared" si="14"/>
        <v>0</v>
      </c>
      <c r="AK12" s="119">
        <f t="shared" si="15"/>
        <v>3.9349063397233361E-2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3.0864777330607031E-3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3.0864777330607031E-3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9"/>
        <v>1.2345910932242812E-2</v>
      </c>
      <c r="Z13" s="156">
        <f>Poor!Z13</f>
        <v>1</v>
      </c>
      <c r="AA13" s="121">
        <f>$M13*Z13*4</f>
        <v>1.2345910932242812E-2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3.0864777330607031E-3</v>
      </c>
      <c r="AJ13" s="120">
        <f t="shared" si="14"/>
        <v>6.1729554661214062E-3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4.3608424982928516E-3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4.3608424982928516E-3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1.7443369993171406E-2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1.7443369993171406E-2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4.3608424982928516E-3</v>
      </c>
      <c r="AJ14" s="120">
        <f t="shared" si="14"/>
        <v>8.7216849965857032E-3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156339.96982295299</v>
      </c>
      <c r="T23" s="179">
        <f>SUM(T7:T22)</f>
        <v>155535.28038898215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3.3530885464160304E-2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3.3530885464160304E-2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0.13412354185664122</v>
      </c>
      <c r="Z27" s="156">
        <f>Poor!Z27</f>
        <v>0.25</v>
      </c>
      <c r="AA27" s="121">
        <f t="shared" si="16"/>
        <v>3.3530885464160304E-2</v>
      </c>
      <c r="AB27" s="156">
        <f>Poor!AB27</f>
        <v>0.25</v>
      </c>
      <c r="AC27" s="121">
        <f t="shared" si="7"/>
        <v>3.3530885464160304E-2</v>
      </c>
      <c r="AD27" s="156">
        <f>Poor!AD27</f>
        <v>0.25</v>
      </c>
      <c r="AE27" s="121">
        <f t="shared" si="8"/>
        <v>3.3530885464160304E-2</v>
      </c>
      <c r="AF27" s="122">
        <f t="shared" si="10"/>
        <v>0.25</v>
      </c>
      <c r="AG27" s="121">
        <f t="shared" si="11"/>
        <v>3.3530885464160304E-2</v>
      </c>
      <c r="AH27" s="123">
        <f t="shared" si="12"/>
        <v>1</v>
      </c>
      <c r="AI27" s="183">
        <f t="shared" si="13"/>
        <v>3.3530885464160304E-2</v>
      </c>
      <c r="AJ27" s="120">
        <f t="shared" si="14"/>
        <v>3.3530885464160304E-2</v>
      </c>
      <c r="AK27" s="119">
        <f t="shared" si="15"/>
        <v>3.3530885464160304E-2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2.8041315720027868E-2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2.8041315720027868E-2</v>
      </c>
      <c r="N28" s="230"/>
      <c r="O28" s="2"/>
      <c r="P28" s="22"/>
      <c r="U28" s="56"/>
      <c r="V28" s="56"/>
      <c r="W28" s="110"/>
      <c r="X28" s="118"/>
      <c r="Y28" s="183">
        <f t="shared" si="9"/>
        <v>0.11216526288011147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5.6082631440055736E-2</v>
      </c>
      <c r="AF28" s="122">
        <f t="shared" si="10"/>
        <v>0.5</v>
      </c>
      <c r="AG28" s="121">
        <f t="shared" si="11"/>
        <v>5.6082631440055736E-2</v>
      </c>
      <c r="AH28" s="123">
        <f t="shared" si="12"/>
        <v>1</v>
      </c>
      <c r="AI28" s="183">
        <f t="shared" si="13"/>
        <v>2.8041315720027868E-2</v>
      </c>
      <c r="AJ28" s="120">
        <f t="shared" si="14"/>
        <v>0</v>
      </c>
      <c r="AK28" s="119">
        <f t="shared" si="15"/>
        <v>5.6082631440055736E-2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0.19633873942588873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0.19633873942588873</v>
      </c>
      <c r="N29" s="230"/>
      <c r="P29" s="22"/>
      <c r="V29" s="56"/>
      <c r="W29" s="110"/>
      <c r="X29" s="118"/>
      <c r="Y29" s="183">
        <f t="shared" si="9"/>
        <v>0.7853549577035549</v>
      </c>
      <c r="Z29" s="156">
        <f>Poor!Z29</f>
        <v>0.25</v>
      </c>
      <c r="AA29" s="121">
        <f t="shared" si="16"/>
        <v>0.19633873942588873</v>
      </c>
      <c r="AB29" s="156">
        <f>Poor!AB29</f>
        <v>0.25</v>
      </c>
      <c r="AC29" s="121">
        <f t="shared" si="7"/>
        <v>0.19633873942588873</v>
      </c>
      <c r="AD29" s="156">
        <f>Poor!AD29</f>
        <v>0.25</v>
      </c>
      <c r="AE29" s="121">
        <f t="shared" si="8"/>
        <v>0.19633873942588873</v>
      </c>
      <c r="AF29" s="122">
        <f t="shared" si="10"/>
        <v>0.25</v>
      </c>
      <c r="AG29" s="121">
        <f t="shared" si="11"/>
        <v>0.19633873942588873</v>
      </c>
      <c r="AH29" s="123">
        <f t="shared" si="12"/>
        <v>1</v>
      </c>
      <c r="AI29" s="183">
        <f t="shared" si="13"/>
        <v>0.19633873942588873</v>
      </c>
      <c r="AJ29" s="120">
        <f t="shared" si="14"/>
        <v>0.19633873942588873</v>
      </c>
      <c r="AK29" s="119">
        <f t="shared" si="15"/>
        <v>0.19633873942588873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3.4387323374828798</v>
      </c>
      <c r="J30" s="232">
        <f>IF(I$32&lt;=1,I30,1-SUM(J6:J29))</f>
        <v>0.12610828865489254</v>
      </c>
      <c r="K30" s="22">
        <f t="shared" si="4"/>
        <v>0.46112153424657532</v>
      </c>
      <c r="L30" s="22">
        <f>IF(L124=L119,0,IF(K30="",0,(L119-L124)/(B119-B124)*K30))</f>
        <v>0.28159183467161675</v>
      </c>
      <c r="M30" s="175">
        <f t="shared" si="6"/>
        <v>0.12610828865489254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0.50443315461957017</v>
      </c>
      <c r="Z30" s="122">
        <f>IF($Y30=0,0,AA30/($Y$30))</f>
        <v>2.2009319063542853E-16</v>
      </c>
      <c r="AA30" s="187">
        <f>IF(AA79*4/$I$83+SUM(AA6:AA29)&lt;1,AA79*4/$I$83,1-SUM(AA6:AA29))</f>
        <v>1.1102230246251565E-16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0.45144149474583867</v>
      </c>
      <c r="AE30" s="187">
        <f>IF(AE79*4/$I$83+SUM(AE6:AE29)&lt;1,AE79*4/$I$83,1-SUM(AE6:AE29))</f>
        <v>0.22772205732081752</v>
      </c>
      <c r="AF30" s="122">
        <f>IF($Y30=0,0,AG30/($Y$30))</f>
        <v>0.54855850525416083</v>
      </c>
      <c r="AG30" s="187">
        <f>IF(AG79*4/$I$83+SUM(AG6:AG29)&lt;1,AG79*4/$I$83,1-SUM(AG6:AG29))</f>
        <v>0.27671109729875243</v>
      </c>
      <c r="AH30" s="123">
        <f t="shared" si="12"/>
        <v>0.99999999999999978</v>
      </c>
      <c r="AI30" s="183">
        <f t="shared" si="13"/>
        <v>0.12610828865489251</v>
      </c>
      <c r="AJ30" s="120">
        <f t="shared" si="14"/>
        <v>5.5511151231257827E-17</v>
      </c>
      <c r="AK30" s="119">
        <f t="shared" si="15"/>
        <v>0.25221657730978497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-0.213101564810382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5.4388975235312635</v>
      </c>
      <c r="J32" s="17"/>
      <c r="L32" s="22">
        <f>SUM(L6:L30)</f>
        <v>1.213101564810382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-5.3916366098196236E-2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31146.239014415685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0.24205918159673967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31146.239014415685</v>
      </c>
      <c r="AH37" s="123">
        <f>SUM(Z37,AB37,AD37,AF37)</f>
        <v>1</v>
      </c>
      <c r="AI37" s="112">
        <f>SUM(AA37,AC37,AE37,AG37)</f>
        <v>31146.239014415685</v>
      </c>
      <c r="AJ37" s="148">
        <f>(AA37+AC37)</f>
        <v>0</v>
      </c>
      <c r="AK37" s="147">
        <f>(AE37+AG37)</f>
        <v>31146.239014415685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688.91360640123844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5.3540288982936333E-3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688.91360640123844</v>
      </c>
      <c r="AH38" s="123">
        <f t="shared" ref="AH38:AI58" si="35">SUM(Z38,AB38,AD38,AF38)</f>
        <v>1</v>
      </c>
      <c r="AI38" s="112">
        <f t="shared" si="35"/>
        <v>688.91360640123844</v>
      </c>
      <c r="AJ38" s="148">
        <f t="shared" ref="AJ38:AJ64" si="36">(AA38+AC38)</f>
        <v>0</v>
      </c>
      <c r="AK38" s="147">
        <f t="shared" ref="AK38:AK64" si="37">(AE38+AG38)</f>
        <v>688.91360640123844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7377.4145626873733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5.7335042298925741E-2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0.42859548280982324</v>
      </c>
      <c r="AA39" s="147">
        <f>$J39*Z39</f>
        <v>3161.9265563832155</v>
      </c>
      <c r="AB39" s="122">
        <f>AB8</f>
        <v>0.42521365428239344</v>
      </c>
      <c r="AC39" s="147">
        <f>$J39*AB39</f>
        <v>3136.9774053564433</v>
      </c>
      <c r="AD39" s="122">
        <f>AD8</f>
        <v>0.14619086290778333</v>
      </c>
      <c r="AE39" s="147">
        <f>$J39*AD39</f>
        <v>1078.510600947714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7377.4145626873733</v>
      </c>
      <c r="AJ39" s="148">
        <f t="shared" si="36"/>
        <v>6298.9039617396593</v>
      </c>
      <c r="AK39" s="147">
        <f t="shared" si="37"/>
        <v>1078.510600947714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0.42859548280982324</v>
      </c>
      <c r="AA40" s="147">
        <f>$J40*Z40</f>
        <v>2616.1468270711612</v>
      </c>
      <c r="AB40" s="122">
        <f>AB9</f>
        <v>0.42521365428239344</v>
      </c>
      <c r="AC40" s="147">
        <f>$J40*AB40</f>
        <v>2595.5041457397297</v>
      </c>
      <c r="AD40" s="122">
        <f>AD9</f>
        <v>0.14619086290778324</v>
      </c>
      <c r="AE40" s="147">
        <f>$J40*AD40</f>
        <v>892.34902718910894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6103.9999999999991</v>
      </c>
      <c r="AJ40" s="148">
        <f t="shared" si="36"/>
        <v>5211.6509728108904</v>
      </c>
      <c r="AK40" s="147">
        <f t="shared" si="37"/>
        <v>892.34902718910894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13279.346212837274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0.10320307613806635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0.42859548280982324</v>
      </c>
      <c r="AA41" s="147">
        <f>$J41*Z41</f>
        <v>5691.4678014897891</v>
      </c>
      <c r="AB41" s="122">
        <f>AB11</f>
        <v>0.42521365428239344</v>
      </c>
      <c r="AC41" s="147">
        <f>$J41*AB41</f>
        <v>5646.5593296415991</v>
      </c>
      <c r="AD41" s="122">
        <f>AD11</f>
        <v>0.14619086290778335</v>
      </c>
      <c r="AE41" s="147">
        <f>$J41*AD41</f>
        <v>1941.319081705886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13279.346212837274</v>
      </c>
      <c r="AJ41" s="148">
        <f t="shared" si="36"/>
        <v>11338.027131131388</v>
      </c>
      <c r="AK41" s="147">
        <f t="shared" si="37"/>
        <v>1941.319081705886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147.54829125374746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1.146700845978515E-3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36.887072813436866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73.774145626873732</v>
      </c>
      <c r="AF42" s="122">
        <f t="shared" si="31"/>
        <v>0.25</v>
      </c>
      <c r="AG42" s="147">
        <f t="shared" si="34"/>
        <v>36.887072813436866</v>
      </c>
      <c r="AH42" s="123">
        <f t="shared" si="35"/>
        <v>1</v>
      </c>
      <c r="AI42" s="112">
        <f t="shared" si="35"/>
        <v>147.54829125374746</v>
      </c>
      <c r="AJ42" s="148">
        <f t="shared" si="36"/>
        <v>36.887072813436866</v>
      </c>
      <c r="AK42" s="147">
        <f t="shared" si="37"/>
        <v>110.66121844031059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>
        <f t="shared" si="33"/>
        <v>0</v>
      </c>
      <c r="K47" s="40">
        <f t="shared" si="28"/>
        <v>6.5375528475503611E-2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123130.8</v>
      </c>
      <c r="J65" s="39">
        <f>SUM(J37:J64)</f>
        <v>138836.26168759531</v>
      </c>
      <c r="K65" s="40">
        <f>SUM(K37:K64)</f>
        <v>1</v>
      </c>
      <c r="L65" s="22">
        <f>SUM(L37:L64)</f>
        <v>1.0727493160905246</v>
      </c>
      <c r="M65" s="24">
        <f>SUM(M37:M64)</f>
        <v>1.0789935781490558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31529.628257757598</v>
      </c>
      <c r="AB65" s="137"/>
      <c r="AC65" s="153">
        <f>SUM(AC37:AC64)</f>
        <v>31402.240880737769</v>
      </c>
      <c r="AD65" s="137"/>
      <c r="AE65" s="153">
        <f>SUM(AE37:AE64)</f>
        <v>24009.15285546958</v>
      </c>
      <c r="AF65" s="137"/>
      <c r="AG65" s="153">
        <f>SUM(AG37:AG64)</f>
        <v>51895.239693630356</v>
      </c>
      <c r="AH65" s="137"/>
      <c r="AI65" s="153">
        <f>SUM(AI37:AI64)</f>
        <v>138836.26168759531</v>
      </c>
      <c r="AJ65" s="153">
        <f>SUM(AJ37:AJ64)</f>
        <v>62931.869138495371</v>
      </c>
      <c r="AK65" s="153">
        <f>SUM(AK37:AK64)</f>
        <v>75904.392549099939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93222.805549869256</v>
      </c>
      <c r="J74" s="51">
        <f>J128*I$83</f>
        <v>3418.7506667376265</v>
      </c>
      <c r="K74" s="40">
        <f>B74/B$76</f>
        <v>5.8880461417906448E-2</v>
      </c>
      <c r="L74" s="22">
        <f>(L128*G$37*F$9/F$7)/B$130</f>
        <v>5.932801284961798E-2</v>
      </c>
      <c r="M74" s="24">
        <f>J74/B$76</f>
        <v>2.6569499710408066E-2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7.5244374222928278E-13</v>
      </c>
      <c r="AB74" s="156"/>
      <c r="AC74" s="147">
        <f>AC30*$I$83/4</f>
        <v>0</v>
      </c>
      <c r="AD74" s="156"/>
      <c r="AE74" s="147">
        <f>AE30*$I$83/4</f>
        <v>1543.3659111553666</v>
      </c>
      <c r="AF74" s="156"/>
      <c r="AG74" s="147">
        <f>AG30*$I$83/4</f>
        <v>1875.3847555822581</v>
      </c>
      <c r="AH74" s="155"/>
      <c r="AI74" s="147">
        <f>SUM(AA74,AC74,AE74,AG74)</f>
        <v>3418.7506667376256</v>
      </c>
      <c r="AJ74" s="148">
        <f>(AA74+AC74)</f>
        <v>7.5244374222928278E-13</v>
      </c>
      <c r="AK74" s="147">
        <f>(AE74+AG74)</f>
        <v>3418.7506667376247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36558.183237393627</v>
      </c>
      <c r="K75" s="40">
        <f>B75/B$76</f>
        <v>0.32096762898250586</v>
      </c>
      <c r="L75" s="22">
        <f>(L129*G$37*F$9/F$7)/B$130</f>
        <v>0.24511640564497256</v>
      </c>
      <c r="M75" s="24">
        <f>J75/B$76</f>
        <v>0.28411918084271348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30037.302733346718</v>
      </c>
      <c r="AB75" s="158"/>
      <c r="AC75" s="149">
        <f>AA75+AC65-SUM(AC70,AC74)</f>
        <v>53962.545001551807</v>
      </c>
      <c r="AD75" s="158"/>
      <c r="AE75" s="149">
        <f>AC75+AE65-SUM(AE70,AE74)</f>
        <v>68951.333333333343</v>
      </c>
      <c r="AF75" s="158"/>
      <c r="AG75" s="149">
        <f>IF(SUM(AG6:AG29)+((AG65-AG70-$J$75)*4/I$83)&lt;1,0,AG65-AG70-$J$75-(1-SUM(AG6:AG29))*I$83/4)</f>
        <v>5984.6730881217954</v>
      </c>
      <c r="AH75" s="134"/>
      <c r="AI75" s="149">
        <f>AI76-SUM(AI70,AI74)</f>
        <v>105509.51657072698</v>
      </c>
      <c r="AJ75" s="151">
        <f>AJ76-SUM(AJ70,AJ74)</f>
        <v>47977.871913430019</v>
      </c>
      <c r="AK75" s="149">
        <f>AJ75+AK76-SUM(AK70,AK74)</f>
        <v>105509.51657072698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123130.79999999997</v>
      </c>
      <c r="J76" s="51">
        <f>J130*I$83</f>
        <v>138836.26168759528</v>
      </c>
      <c r="K76" s="40">
        <f>SUM(K70:K75)</f>
        <v>0.59468001326369868</v>
      </c>
      <c r="L76" s="22">
        <f>SUM(L70:L75)</f>
        <v>0.59447173174168944</v>
      </c>
      <c r="M76" s="24">
        <f>SUM(M70:M75)</f>
        <v>0.60071599380022045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31529.628257757598</v>
      </c>
      <c r="AB76" s="137"/>
      <c r="AC76" s="153">
        <f>AC65</f>
        <v>31402.240880737769</v>
      </c>
      <c r="AD76" s="137"/>
      <c r="AE76" s="153">
        <f>AE65</f>
        <v>24009.15285546958</v>
      </c>
      <c r="AF76" s="137"/>
      <c r="AG76" s="153">
        <f>AG65</f>
        <v>51895.239693630356</v>
      </c>
      <c r="AH76" s="137"/>
      <c r="AI76" s="153">
        <f>SUM(AA76,AC76,AE76,AG76)</f>
        <v>138836.26168759531</v>
      </c>
      <c r="AJ76" s="154">
        <f>SUM(AA76,AC76)</f>
        <v>62931.869138495371</v>
      </c>
      <c r="AK76" s="154">
        <f>SUM(AE76,AG76)</f>
        <v>75904.392549099939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20618.533333333318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5984.6730881217954</v>
      </c>
      <c r="AB78" s="112"/>
      <c r="AC78" s="112">
        <f>IF(AA75&lt;0,0,AA75)</f>
        <v>30037.302733346718</v>
      </c>
      <c r="AD78" s="112"/>
      <c r="AE78" s="112">
        <f>AC75</f>
        <v>53962.545001551807</v>
      </c>
      <c r="AF78" s="112"/>
      <c r="AG78" s="112">
        <f>AE75</f>
        <v>68951.333333333343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30037.302733346718</v>
      </c>
      <c r="AB79" s="112"/>
      <c r="AC79" s="112">
        <f>AA79-AA74+AC65-AC70</f>
        <v>53962.545001551807</v>
      </c>
      <c r="AD79" s="112"/>
      <c r="AE79" s="112">
        <f>AC79-AC74+AE65-AE70</f>
        <v>70494.6992444887</v>
      </c>
      <c r="AF79" s="112"/>
      <c r="AG79" s="112">
        <f>AE79-AE74+AG65-AG70</f>
        <v>113369.574414431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1.1488989057784511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1.1488989057784511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2.5412124019337817E-2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2.5412124019337817E-2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0.27213248811911311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0.27213248811911311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0.48983847861440366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0.48983847861440366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5.4426497623822623E-3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5.4426497623822623E-3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</v>
      </c>
      <c r="I101" s="22">
        <f t="shared" si="59"/>
        <v>0</v>
      </c>
      <c r="J101" s="24">
        <f t="shared" si="60"/>
        <v>0</v>
      </c>
      <c r="K101" s="22">
        <f t="shared" si="61"/>
        <v>0.51198756373259358</v>
      </c>
      <c r="L101" s="22">
        <f t="shared" si="62"/>
        <v>0</v>
      </c>
      <c r="M101" s="228">
        <f t="shared" si="63"/>
        <v>0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4.5419558143809873</v>
      </c>
      <c r="J119" s="24">
        <f>SUM(J91:J118)</f>
        <v>5.121287005516848</v>
      </c>
      <c r="K119" s="22">
        <f>SUM(K91:K118)</f>
        <v>7.831486424227327</v>
      </c>
      <c r="L119" s="22">
        <f>SUM(L91:L118)</f>
        <v>5.0916495185224822</v>
      </c>
      <c r="M119" s="57">
        <f t="shared" si="50"/>
        <v>5.121287005516848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3.4387323374828798</v>
      </c>
      <c r="J128" s="229">
        <f>(J30)</f>
        <v>0.12610828865489254</v>
      </c>
      <c r="K128" s="22">
        <f>(B128)</f>
        <v>0.46112153424657532</v>
      </c>
      <c r="L128" s="22">
        <f>IF(L124=L119,0,(L119-L124)/(B119-B124)*K128)</f>
        <v>0.28159183467161675</v>
      </c>
      <c r="M128" s="57">
        <f t="shared" si="90"/>
        <v>0.12610828865489254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1.3485306106862422</v>
      </c>
      <c r="K129" s="29">
        <f>(B129)</f>
        <v>2.5136536289929285</v>
      </c>
      <c r="L129" s="60">
        <f>IF(SUM(L124:L128)&gt;L130,0,L130-SUM(L124:L128))</f>
        <v>1.1634095776751523</v>
      </c>
      <c r="M129" s="57">
        <f t="shared" si="90"/>
        <v>1.3485306106862422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4.5419558143809873</v>
      </c>
      <c r="J130" s="229">
        <f>(J119)</f>
        <v>5.121287005516848</v>
      </c>
      <c r="K130" s="22">
        <f>(B130)</f>
        <v>7.831486424227327</v>
      </c>
      <c r="L130" s="22">
        <f>(L119)</f>
        <v>5.0916495185224822</v>
      </c>
      <c r="M130" s="57">
        <f t="shared" si="90"/>
        <v>5.121287005516848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0.76056086176116366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4541.3456065119817</v>
      </c>
      <c r="G72" s="109">
        <f>Poor!T7</f>
        <v>4146.650923797336</v>
      </c>
      <c r="H72" s="109">
        <f>Middle!T7</f>
        <v>6403.0916931749625</v>
      </c>
      <c r="I72" s="109">
        <f>Rich!T7</f>
        <v>9129.3376125687046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26908.309066778391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884.99999999999989</v>
      </c>
      <c r="G76" s="109">
        <f>Poor!T11</f>
        <v>3775.9999999999991</v>
      </c>
      <c r="H76" s="109">
        <f>Middle!T11</f>
        <v>10281.921869904705</v>
      </c>
      <c r="I76" s="109">
        <f>Rich!T11</f>
        <v>31835.152620816931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1826.4386408042078</v>
      </c>
      <c r="H77" s="109">
        <f>Middle!T12</f>
        <v>416.99030334649797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9262.8619136103207</v>
      </c>
      <c r="G88" s="109">
        <f>Poor!T23</f>
        <v>21926.73100873729</v>
      </c>
      <c r="H88" s="109">
        <f>Middle!T23</f>
        <v>81869.099481459212</v>
      </c>
      <c r="I88" s="109">
        <f>Rich!T23</f>
        <v>155535.28038898215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41664.95267937977</v>
      </c>
      <c r="G98" s="240">
        <f t="shared" si="0"/>
        <v>29001.083584252796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62283.486012713096</v>
      </c>
      <c r="G99" s="240">
        <f t="shared" si="0"/>
        <v>49619.616917586129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103205.8860127131</v>
      </c>
      <c r="G100" s="240">
        <f t="shared" si="0"/>
        <v>90542.016917586123</v>
      </c>
      <c r="H100" s="240">
        <f t="shared" si="0"/>
        <v>30599.648444864215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2016-06-02T08:34:25Z</dcterms:modified>
  <cp:category/>
</cp:coreProperties>
</file>