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L7" i="12"/>
  <c r="B8" i="12"/>
  <c r="K8" i="12"/>
  <c r="E8" i="12"/>
  <c r="H8" i="12"/>
  <c r="L8" i="12"/>
  <c r="B9" i="12"/>
  <c r="K9" i="12"/>
  <c r="L9" i="12"/>
  <c r="B6" i="12"/>
  <c r="K6" i="12"/>
  <c r="E6" i="12"/>
  <c r="H6" i="12"/>
  <c r="L6" i="12"/>
  <c r="B10" i="12"/>
  <c r="K10" i="12"/>
  <c r="L10" i="12"/>
  <c r="B11" i="12"/>
  <c r="K11" i="12"/>
  <c r="L11" i="12"/>
  <c r="B12" i="12"/>
  <c r="K12" i="12"/>
  <c r="L12" i="12"/>
  <c r="B13" i="12"/>
  <c r="K13" i="12"/>
  <c r="L13" i="12"/>
  <c r="B14" i="12"/>
  <c r="K14" i="12"/>
  <c r="L14" i="12"/>
  <c r="B15" i="12"/>
  <c r="K15" i="12"/>
  <c r="L15" i="12"/>
  <c r="B16" i="12"/>
  <c r="K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H101" i="12"/>
  <c r="I101" i="12"/>
  <c r="B48" i="12"/>
  <c r="B102" i="12"/>
  <c r="C48" i="12"/>
  <c r="C102" i="12"/>
  <c r="D102" i="12"/>
  <c r="G48" i="12"/>
  <c r="F48" i="12"/>
  <c r="H102" i="12"/>
  <c r="I102" i="12"/>
  <c r="B49" i="12"/>
  <c r="B103" i="12"/>
  <c r="C49" i="12"/>
  <c r="C103" i="12"/>
  <c r="D103" i="12"/>
  <c r="G49" i="12"/>
  <c r="F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7" i="12"/>
  <c r="H7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7" i="7"/>
  <c r="H7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7" i="8"/>
  <c r="H7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<sst xmlns="http://schemas.openxmlformats.org/spreadsheetml/2006/main" count="790" uniqueCount="145">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</sst>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 formatCode="0.0%">
                  <c:v>0.0101325741360523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0.0075</c:v>
                </c:pt>
                <c:pt idx="2" formatCode="0.0%">
                  <c:v>0.0075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0.0315895540161893</c:v>
                </c:pt>
                <c:pt idx="2" formatCode="0.0%">
                  <c:v>0.0315895540161893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0.000647260273972603</c:v>
                </c:pt>
                <c:pt idx="2" formatCode="0.0%">
                  <c:v>0.000647260273972603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0.0204370456102117</c:v>
                </c:pt>
                <c:pt idx="2" formatCode="0.0%">
                  <c:v>0.0129802857254047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0.0105547945205479</c:v>
                </c:pt>
                <c:pt idx="2" formatCode="0.0%">
                  <c:v>0.0321232876712329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0.00698746886674969</c:v>
                </c:pt>
                <c:pt idx="2" formatCode="0.0%">
                  <c:v>0.014342699252802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0.022359900373599</c:v>
                </c:pt>
                <c:pt idx="2" formatCode="0.0%">
                  <c:v>0.037266500622665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0.00434775840597758</c:v>
                </c:pt>
                <c:pt idx="2" formatCode="0.0%">
                  <c:v>0.00640722291407223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0.00635449875466999</c:v>
                </c:pt>
                <c:pt idx="2" formatCode="0.0%">
                  <c:v>0.00635449875466999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0.000941469489414695</c:v>
                </c:pt>
                <c:pt idx="2" formatCode="0.0%">
                  <c:v>0.000941469489414695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0.00111931843201453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0.407171584711519</c:v>
                </c:pt>
                <c:pt idx="2" formatCode="0.0%">
                  <c:v>0.409873868160027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165240"/>
        <c:axId val="-2025363368"/>
      </c:barChart>
      <c:catAx>
        <c:axId val="184916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363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36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165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0.0581638940234134</c:v>
                </c:pt>
                <c:pt idx="2">
                  <c:v>0.0579712873069175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0.00436229205175601</c:v>
                </c:pt>
                <c:pt idx="2">
                  <c:v>0.0043911830592304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0.000727048675292668</c:v>
                </c:pt>
                <c:pt idx="2">
                  <c:v>0.000727048675292668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0.00411352433764633</c:v>
                </c:pt>
                <c:pt idx="2">
                  <c:v>0.00408628089292163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0.00215650030807147</c:v>
                </c:pt>
                <c:pt idx="2">
                  <c:v>0.00217506726908962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0.00301910043130006</c:v>
                </c:pt>
                <c:pt idx="2">
                  <c:v>0.00299910524251129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0.000646950092421441</c:v>
                </c:pt>
                <c:pt idx="2">
                  <c:v>0.000642665409109562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0.785212569316081</c:v>
                </c:pt>
                <c:pt idx="2">
                  <c:v>0.785212569316081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516920"/>
        <c:axId val="1847510040"/>
      </c:barChart>
      <c:catAx>
        <c:axId val="184751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1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51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51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0.0436588321262406</c:v>
                </c:pt>
                <c:pt idx="2">
                  <c:v>0.0435017587092699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0.00785858978272331</c:v>
                </c:pt>
                <c:pt idx="2">
                  <c:v>0.00781146775763211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0.00815828176596276</c:v>
                </c:pt>
                <c:pt idx="2">
                  <c:v>0.00815828176596276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0.00104892194133807</c:v>
                </c:pt>
                <c:pt idx="2">
                  <c:v>0.00106779071833433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0.129496535967663</c:v>
                </c:pt>
                <c:pt idx="2">
                  <c:v>0.129496535967663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0.628687182617865</c:v>
                </c:pt>
                <c:pt idx="2">
                  <c:v>0.628687182617865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271480"/>
        <c:axId val="1847263384"/>
      </c:barChart>
      <c:catAx>
        <c:axId val="184727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6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263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7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0.00212739014815753</c:v>
                </c:pt>
                <c:pt idx="2">
                  <c:v>0.00212739014815753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0.0245979485880714</c:v>
                </c:pt>
                <c:pt idx="2">
                  <c:v>0.0245979485880714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0.139154109155375</c:v>
                </c:pt>
                <c:pt idx="2">
                  <c:v>0.139154109155375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6845368"/>
        <c:axId val="1846844136"/>
      </c:barChart>
      <c:catAx>
        <c:axId val="184684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4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844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6845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2242.411118584403</c:v>
                </c:pt>
                <c:pt idx="5">
                  <c:v>5120.952491438625</c:v>
                </c:pt>
                <c:pt idx="6">
                  <c:v>2748.931478030488</c:v>
                </c:pt>
                <c:pt idx="7">
                  <c:v>2361.287032669538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67.2</c:v>
                </c:pt>
                <c:pt idx="5">
                  <c:v>725.2</c:v>
                </c:pt>
                <c:pt idx="6">
                  <c:v>1469.509653442277</c:v>
                </c:pt>
                <c:pt idx="7">
                  <c:v>47991.8077515195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345.5708992460083</c:v>
                </c:pt>
                <c:pt idx="6">
                  <c:v>394.9381705668666</c:v>
                </c:pt>
                <c:pt idx="7">
                  <c:v>1462.858922235363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4577.456</c:v>
                </c:pt>
                <c:pt idx="6">
                  <c:v>9361.763602675022</c:v>
                </c:pt>
                <c:pt idx="7">
                  <c:v>17752.0775250024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923.6077364205726</c:v>
                </c:pt>
                <c:pt idx="5">
                  <c:v>487.314780573946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4395.6</c:v>
                </c:pt>
                <c:pt idx="5">
                  <c:v>0.0</c:v>
                </c:pt>
                <c:pt idx="6">
                  <c:v>116516.5714285714</c:v>
                </c:pt>
                <c:pt idx="7">
                  <c:v>217497.5999999999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671880"/>
        <c:axId val="184666989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6671880"/>
        <c:axId val="1846669896"/>
      </c:lineChart>
      <c:catAx>
        <c:axId val="184667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669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6669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6671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2048488"/>
        <c:axId val="-21021479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48488"/>
        <c:axId val="-2102147944"/>
      </c:lineChart>
      <c:catAx>
        <c:axId val="-210204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14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14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48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395784"/>
        <c:axId val="-21013924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95784"/>
        <c:axId val="-2101392440"/>
      </c:lineChart>
      <c:catAx>
        <c:axId val="-2101395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9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39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9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0.326427802123412</c:v>
                </c:pt>
                <c:pt idx="2">
                  <c:v>0.328594211764782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-0.10349810286726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470696"/>
        <c:axId val="-2101467352"/>
      </c:barChart>
      <c:catAx>
        <c:axId val="-210147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6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46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47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0.370225162490263</c:v>
                </c:pt>
                <c:pt idx="2">
                  <c:v>0.365578997870154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0.094414743336395</c:v>
                </c:pt>
                <c:pt idx="2">
                  <c:v>0.0988642358916754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32152"/>
        <c:axId val="-2101535048"/>
      </c:barChart>
      <c:catAx>
        <c:axId val="-210153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5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35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0.627637900772476</c:v>
                </c:pt>
                <c:pt idx="2">
                  <c:v>0.641484599595276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0.0502554726140473</c:v>
                </c:pt>
                <c:pt idx="2">
                  <c:v>0.0362234471261823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585928"/>
        <c:axId val="-2101593800"/>
      </c:barChart>
      <c:catAx>
        <c:axId val="-210158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9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59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58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0.474529702269093</c:v>
                </c:pt>
                <c:pt idx="2">
                  <c:v>0.474529702269093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0.345451976998657</c:v>
                </c:pt>
                <c:pt idx="2">
                  <c:v>0.474529702269093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641416"/>
        <c:axId val="-2101653848"/>
      </c:barChart>
      <c:catAx>
        <c:axId val="-210164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53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53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64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0.0115800847269169</c:v>
                </c:pt>
                <c:pt idx="2" formatCode="0.0%">
                  <c:v>0.0115800847269169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0.00583333333333333</c:v>
                </c:pt>
                <c:pt idx="2" formatCode="0.0%">
                  <c:v>0.00583333333333333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0.0176827824230564</c:v>
                </c:pt>
                <c:pt idx="2" formatCode="0.0%">
                  <c:v>0.0179267641576446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0.0227253634584593</c:v>
                </c:pt>
                <c:pt idx="2" formatCode="0.0%">
                  <c:v>0.0226710134472298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0.0144227005870841</c:v>
                </c:pt>
                <c:pt idx="2" formatCode="0.0%">
                  <c:v>0.0145442715585172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0.00686488169364881</c:v>
                </c:pt>
                <c:pt idx="2" formatCode="0.0%">
                  <c:v>0.00686488169364881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0.007453300124533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0.00387048567870486</c:v>
                </c:pt>
                <c:pt idx="2" formatCode="0.0%">
                  <c:v>0.00387394970909847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0.0014346201743462</c:v>
                </c:pt>
                <c:pt idx="2" formatCode="0.0%">
                  <c:v>0.0014346201743462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0.042952159141918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0.281812092691957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0.410792870415563</c:v>
                </c:pt>
                <c:pt idx="2" formatCode="0.0%">
                  <c:v>0.430152344943433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91521608"/>
        <c:axId val="-2025648280"/>
      </c:barChart>
      <c:catAx>
        <c:axId val="179152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64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64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9152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822008"/>
        <c:axId val="-21018288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22008"/>
        <c:axId val="-21018288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822008"/>
        <c:axId val="-2101828856"/>
      </c:scatterChart>
      <c:catAx>
        <c:axId val="-2101822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828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828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822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8707848"/>
        <c:axId val="181883796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707848"/>
        <c:axId val="1818837960"/>
      </c:lineChart>
      <c:catAx>
        <c:axId val="1818707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37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837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707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31192"/>
        <c:axId val="18190219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17272"/>
        <c:axId val="1819011192"/>
      </c:scatterChart>
      <c:valAx>
        <c:axId val="1819031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21928"/>
        <c:crosses val="autoZero"/>
        <c:crossBetween val="midCat"/>
      </c:valAx>
      <c:valAx>
        <c:axId val="1819021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31192"/>
        <c:crosses val="autoZero"/>
        <c:crossBetween val="midCat"/>
      </c:valAx>
      <c:valAx>
        <c:axId val="18190172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9011192"/>
        <c:crosses val="autoZero"/>
        <c:crossBetween val="midCat"/>
      </c:valAx>
      <c:valAx>
        <c:axId val="181901119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90172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841880"/>
        <c:axId val="181883279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841880"/>
        <c:axId val="1818832792"/>
      </c:lineChart>
      <c:catAx>
        <c:axId val="1818841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327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832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8418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0.0428928665940224</c:v>
                </c:pt>
                <c:pt idx="2" formatCode="0.0%">
                  <c:v>0.0428928665940224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0.0309448692403487</c:v>
                </c:pt>
                <c:pt idx="2" formatCode="0.0%">
                  <c:v>0.0309448692403487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0.0167915185554172</c:v>
                </c:pt>
                <c:pt idx="2" formatCode="0.0%">
                  <c:v>0.0167915185554172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0.0022027397260274</c:v>
                </c:pt>
                <c:pt idx="2" formatCode="0.0%">
                  <c:v>0.00202442948801111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0.00961083437110834</c:v>
                </c:pt>
                <c:pt idx="2" formatCode="0.0%">
                  <c:v>0.00961083437110834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0.00285579078455791</c:v>
                </c:pt>
                <c:pt idx="2" formatCode="0.0%">
                  <c:v>0.00285579078455791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0.00200846824408468</c:v>
                </c:pt>
                <c:pt idx="2" formatCode="0.0%">
                  <c:v>0.00200846824408468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0.0602693878180043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0.412537851411272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0.509783589829726</c:v>
                </c:pt>
                <c:pt idx="2" formatCode="0.0%">
                  <c:v>0.367444935874126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8016280"/>
        <c:axId val="1818010216"/>
      </c:barChart>
      <c:catAx>
        <c:axId val="181801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01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801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8016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0.005</c:v>
                </c:pt>
                <c:pt idx="2" formatCode="0.0%">
                  <c:v>0.005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0.0322342387920299</c:v>
                </c:pt>
                <c:pt idx="2" formatCode="0.0%">
                  <c:v>0.0322342387920299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0.00573630136986301</c:v>
                </c:pt>
                <c:pt idx="2" formatCode="0.0%">
                  <c:v>0.00573630136986301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0.00245174346201743</c:v>
                </c:pt>
                <c:pt idx="2" formatCode="0.0%">
                  <c:v>0.00245174346201743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0.0037266500622665</c:v>
                </c:pt>
                <c:pt idx="2" formatCode="0.0%">
                  <c:v>0.0037266500622665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%">
                  <c:v>0.00508359900373599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0.000470734744707347</c:v>
                </c:pt>
                <c:pt idx="2" formatCode="0.0%">
                  <c:v>0.000470734744707347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0.31995760602931</c:v>
                </c:pt>
                <c:pt idx="2" formatCode="0.0%">
                  <c:v>0.439509389545079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817208"/>
        <c:axId val="1817808920"/>
      </c:barChart>
      <c:catAx>
        <c:axId val="181781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80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780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781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0.00689015041251557</c:v>
                </c:pt>
                <c:pt idx="1">
                  <c:v>0.00689015041251557</c:v>
                </c:pt>
                <c:pt idx="2">
                  <c:v>0.013374997859589</c:v>
                </c:pt>
                <c:pt idx="3">
                  <c:v>0.013374997859589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0.126358216064757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0.00258904109589041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0.0519211429016189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0.128493150684931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0.0384384339975093</c:v>
                </c:pt>
                <c:pt idx="3">
                  <c:v>0.0189323630136986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0.0256288916562889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0.00635449875466999</c:v>
                </c:pt>
                <c:pt idx="1">
                  <c:v>0.00635449875466999</c:v>
                </c:pt>
                <c:pt idx="2">
                  <c:v>0.00635449875466999</c:v>
                </c:pt>
                <c:pt idx="3">
                  <c:v>0.00635449875466999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0.00376587795765878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0.0914892211468628</c:v>
                </c:pt>
                <c:pt idx="1">
                  <c:v>-0.518401121195941</c:v>
                </c:pt>
                <c:pt idx="2">
                  <c:v>-0.520476281723679</c:v>
                </c:pt>
                <c:pt idx="3">
                  <c:v>-0.520476281723679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708712"/>
        <c:axId val="1817712024"/>
      </c:barChart>
      <c:catAx>
        <c:axId val="1817708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12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71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70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0.12893695516812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0.022945205479452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0.00657067247820672</c:v>
                </c:pt>
                <c:pt idx="3">
                  <c:v>0.00323630136986301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0.014906600249066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  <c:pt idx="3">
                  <c:v>0.00508359900373599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0.190395965794035</c:v>
                </c:pt>
                <c:pt idx="1">
                  <c:v>0.190395965794035</c:v>
                </c:pt>
                <c:pt idx="2">
                  <c:v>0.190395965794035</c:v>
                </c:pt>
                <c:pt idx="3">
                  <c:v>0.190395965794035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590376"/>
        <c:axId val="1817593496"/>
      </c:barChart>
      <c:catAx>
        <c:axId val="18175903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93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593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59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0.0078744576143035</c:v>
                </c:pt>
                <c:pt idx="1">
                  <c:v>0.0078744576143035</c:v>
                </c:pt>
                <c:pt idx="2">
                  <c:v>0.0152857118395303</c:v>
                </c:pt>
                <c:pt idx="3">
                  <c:v>0.0152857118395303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0.0233333333333333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0.0717070566305784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0.0906840537889194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0.0581770862340687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0.0183978829389788</c:v>
                </c:pt>
                <c:pt idx="3">
                  <c:v>0.00906164383561643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0.0154957988363939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0.00573848069738481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0.281812092691957</c:v>
                </c:pt>
                <c:pt idx="1">
                  <c:v>0.281812092691957</c:v>
                </c:pt>
                <c:pt idx="2">
                  <c:v>0.281812092691957</c:v>
                </c:pt>
                <c:pt idx="3">
                  <c:v>0.281812092691957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0.264078709102699</c:v>
                </c:pt>
                <c:pt idx="1">
                  <c:v>0.498964307418004</c:v>
                </c:pt>
                <c:pt idx="2">
                  <c:v>0.488650969090192</c:v>
                </c:pt>
                <c:pt idx="3">
                  <c:v>0.468915394162837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395928"/>
        <c:axId val="1817399240"/>
      </c:barChart>
      <c:catAx>
        <c:axId val="18173959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9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39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39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0.0291671492839352</c:v>
                </c:pt>
                <c:pt idx="1">
                  <c:v>0.0291671492839352</c:v>
                </c:pt>
                <c:pt idx="2">
                  <c:v>0.0566185839041096</c:v>
                </c:pt>
                <c:pt idx="3">
                  <c:v>0.0566185839041096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0.123779476961395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0.0671660742216687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0.00809771795204444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0.0257570361145704</c:v>
                </c:pt>
                <c:pt idx="3">
                  <c:v>0.012686301369863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0.0114231631382316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0.00803387297633873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0.412537851411272</c:v>
                </c:pt>
                <c:pt idx="1">
                  <c:v>0.412537851411272</c:v>
                </c:pt>
                <c:pt idx="2">
                  <c:v>0.412537851411272</c:v>
                </c:pt>
                <c:pt idx="3">
                  <c:v>0.412537851411272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0.251363294732633</c:v>
                </c:pt>
                <c:pt idx="1">
                  <c:v>0.438983400729509</c:v>
                </c:pt>
                <c:pt idx="2">
                  <c:v>0.397198093132996</c:v>
                </c:pt>
                <c:pt idx="3">
                  <c:v>0.382234954901365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7229256"/>
        <c:axId val="1817227624"/>
      </c:barChart>
      <c:catAx>
        <c:axId val="181722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276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7227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722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0.0887614301497379</c:v>
                </c:pt>
                <c:pt idx="2">
                  <c:v>0.0887614301497379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0.0133142145224607</c:v>
                </c:pt>
                <c:pt idx="2">
                  <c:v>0.0133142145224607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0.00552539902682118</c:v>
                </c:pt>
                <c:pt idx="2">
                  <c:v>0.00552539902682118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0.00658188571025599</c:v>
                </c:pt>
                <c:pt idx="2">
                  <c:v>0.0154674314191016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0.0216544039867422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0.00987282856538398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0.0184292799887168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0.00444277285442279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0.00157965257046144</c:v>
                </c:pt>
                <c:pt idx="2">
                  <c:v>0.00157965257046144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388472"/>
        <c:axId val="1847269272"/>
      </c:barChart>
      <c:catAx>
        <c:axId val="184738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269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726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88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2242.4111185844035</v>
      </c>
      <c r="T7" s="222">
        <f>IF($B$81=0,0,(SUMIF($N$6:$N$28,$U7,M$6:M$28)+SUMIF($N$91:$N$118,$U7,M$91:M$118))*$I$83*Poor!$B$81/$B$81)</f>
        <v>2242.4111185844035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3.2234238792029891E-2</v>
      </c>
      <c r="J8" s="24">
        <f t="shared" si="3"/>
        <v>3.2234238792029891E-2</v>
      </c>
      <c r="K8" s="22">
        <f t="shared" si="4"/>
        <v>2.957269613947696E-2</v>
      </c>
      <c r="L8" s="22">
        <f t="shared" si="5"/>
        <v>3.2234238792029891E-2</v>
      </c>
      <c r="M8" s="224">
        <f t="shared" si="6"/>
        <v>3.2234238792029891E-2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67.2</v>
      </c>
      <c r="T8" s="222">
        <f>IF($B$81=0,0,(SUMIF($N$6:$N$28,$U8,M$6:M$28)+SUMIF($N$91:$N$118,$U8,M$91:M$118))*$I$83*Poor!$B$81/$B$81)</f>
        <v>67.2</v>
      </c>
      <c r="U8" s="223">
        <v>2</v>
      </c>
      <c r="V8" s="56"/>
      <c r="W8" s="115"/>
      <c r="X8" s="118">
        <f>Poor!X8</f>
        <v>1</v>
      </c>
      <c r="Y8" s="184">
        <f t="shared" si="9"/>
        <v>0.12893695516811957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0.12893695516811957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3.2234238792029891E-2</v>
      </c>
      <c r="AJ8" s="120">
        <f t="shared" si="14"/>
        <v>6.4468477584059783E-2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1</v>
      </c>
      <c r="H10" s="24">
        <f t="shared" si="1"/>
        <v>1</v>
      </c>
      <c r="I10" s="22">
        <f t="shared" si="2"/>
        <v>1.1047051681195519E-2</v>
      </c>
      <c r="J10" s="24">
        <f t="shared" si="3"/>
        <v>1.1047051681195519E-2</v>
      </c>
      <c r="K10" s="22">
        <f t="shared" si="4"/>
        <v>1.1047051681195519E-2</v>
      </c>
      <c r="L10" s="22">
        <f t="shared" si="5"/>
        <v>1.1047051681195519E-2</v>
      </c>
      <c r="M10" s="224">
        <f t="shared" si="6"/>
        <v>1.1047051681195519E-2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4.4188206724782075E-2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4.4188206724782075E-2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1.1047051681195519E-2</v>
      </c>
      <c r="AJ10" s="120">
        <f t="shared" si="14"/>
        <v>2.2094103362391038E-2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1</v>
      </c>
      <c r="H11" s="24">
        <f t="shared" si="1"/>
        <v>1</v>
      </c>
      <c r="I11" s="22">
        <f t="shared" si="2"/>
        <v>5.7363013698630136E-3</v>
      </c>
      <c r="J11" s="24">
        <f t="shared" si="3"/>
        <v>5.7363013698630136E-3</v>
      </c>
      <c r="K11" s="22">
        <f t="shared" si="4"/>
        <v>5.7363013698630136E-3</v>
      </c>
      <c r="L11" s="22">
        <f t="shared" si="5"/>
        <v>5.7363013698630136E-3</v>
      </c>
      <c r="M11" s="224">
        <f t="shared" si="6"/>
        <v>5.7363013698630136E-3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2.2945205479452054E-2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2.2945205479452054E-2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5.7363013698630136E-3</v>
      </c>
      <c r="AJ11" s="120">
        <f t="shared" si="14"/>
        <v>1.1472602739726027E-2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1</v>
      </c>
      <c r="H12" s="24">
        <f t="shared" si="1"/>
        <v>1</v>
      </c>
      <c r="I12" s="22">
        <f t="shared" si="2"/>
        <v>2.4517434620174349E-3</v>
      </c>
      <c r="J12" s="24">
        <f t="shared" si="3"/>
        <v>2.4517434620174349E-3</v>
      </c>
      <c r="K12" s="22">
        <f t="shared" si="4"/>
        <v>2.4517434620174349E-3</v>
      </c>
      <c r="L12" s="22">
        <f t="shared" si="5"/>
        <v>2.4517434620174349E-3</v>
      </c>
      <c r="M12" s="224">
        <f t="shared" si="6"/>
        <v>2.4517434620174349E-3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894.28618913645812</v>
      </c>
      <c r="T12" s="222">
        <f>IF($B$81=0,0,(SUMIF($N$6:$N$28,$U12,M$6:M$28)+SUMIF($N$91:$N$118,$U12,M$91:M$118))*$I$83*Poor!$B$81/$B$81)</f>
        <v>923.60773642057268</v>
      </c>
      <c r="U12" s="223">
        <v>6</v>
      </c>
      <c r="V12" s="56"/>
      <c r="W12" s="117"/>
      <c r="X12" s="118">
        <v>1</v>
      </c>
      <c r="Y12" s="184">
        <f t="shared" si="9"/>
        <v>9.8069738480697395E-3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6.5706724782067256E-3</v>
      </c>
      <c r="AF12" s="122">
        <f>1-SUM(Z12,AB12,AD12)</f>
        <v>0.32999999999999996</v>
      </c>
      <c r="AG12" s="121">
        <f>$M12*AF12*4</f>
        <v>3.2363013698630135E-3</v>
      </c>
      <c r="AH12" s="123">
        <f t="shared" si="12"/>
        <v>1</v>
      </c>
      <c r="AI12" s="184">
        <f t="shared" si="13"/>
        <v>2.4517434620174349E-3</v>
      </c>
      <c r="AJ12" s="120">
        <f t="shared" si="14"/>
        <v>0</v>
      </c>
      <c r="AK12" s="119">
        <f t="shared" si="15"/>
        <v>4.9034869240348698E-3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1</v>
      </c>
      <c r="H13" s="24">
        <f t="shared" si="1"/>
        <v>1</v>
      </c>
      <c r="I13" s="22">
        <f t="shared" si="2"/>
        <v>3.7266500622665003E-3</v>
      </c>
      <c r="J13" s="24">
        <f t="shared" si="3"/>
        <v>3.7266500622665003E-3</v>
      </c>
      <c r="K13" s="22">
        <f t="shared" si="4"/>
        <v>3.7266500622665003E-3</v>
      </c>
      <c r="L13" s="22">
        <f t="shared" si="5"/>
        <v>3.7266500622665003E-3</v>
      </c>
      <c r="M13" s="225">
        <f t="shared" si="6"/>
        <v>3.7266500622665003E-3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4395.6000000000004</v>
      </c>
      <c r="T13" s="222">
        <f>IF($B$81=0,0,(SUMIF($N$6:$N$28,$U13,M$6:M$28)+SUMIF($N$91:$N$118,$U13,M$91:M$118))*$I$83*Poor!$B$81/$B$81)</f>
        <v>4395.6000000000004</v>
      </c>
      <c r="U13" s="223">
        <v>7</v>
      </c>
      <c r="V13" s="56"/>
      <c r="W13" s="110"/>
      <c r="X13" s="118"/>
      <c r="Y13" s="184">
        <f t="shared" si="9"/>
        <v>1.4906600249066001E-2</v>
      </c>
      <c r="Z13" s="156">
        <f>Poor!Z13</f>
        <v>1</v>
      </c>
      <c r="AA13" s="121">
        <f>$M13*Z13*4</f>
        <v>1.4906600249066001E-2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3.7266500622665003E-3</v>
      </c>
      <c r="AJ13" s="120">
        <f t="shared" si="14"/>
        <v>7.4533001245330006E-3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1</v>
      </c>
      <c r="F15" s="22"/>
      <c r="H15" s="24">
        <f t="shared" si="1"/>
        <v>1</v>
      </c>
      <c r="I15" s="22">
        <f t="shared" si="2"/>
        <v>5.0835990037359901E-3</v>
      </c>
      <c r="J15" s="24">
        <f t="shared" ref="J15:J25" si="17">IF(I$32&lt;=1+I131,I15,B15*H15+J$33*(I15-B15*H15))</f>
        <v>5.0835990037359901E-3</v>
      </c>
      <c r="K15" s="22">
        <f t="shared" si="4"/>
        <v>5.0835990037359901E-3</v>
      </c>
      <c r="L15" s="22">
        <f t="shared" si="5"/>
        <v>5.0835990037359901E-3</v>
      </c>
      <c r="M15" s="226">
        <f t="shared" si="6"/>
        <v>5.0835990037359901E-3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2.033439601494396E-2</v>
      </c>
      <c r="Z15" s="156">
        <f>Poor!Z15</f>
        <v>0.25</v>
      </c>
      <c r="AA15" s="121">
        <f t="shared" si="16"/>
        <v>5.0835990037359901E-3</v>
      </c>
      <c r="AB15" s="156">
        <f>Poor!AB15</f>
        <v>0.25</v>
      </c>
      <c r="AC15" s="121">
        <f t="shared" si="7"/>
        <v>5.0835990037359901E-3</v>
      </c>
      <c r="AD15" s="156">
        <f>Poor!AD15</f>
        <v>0.25</v>
      </c>
      <c r="AE15" s="121">
        <f t="shared" si="8"/>
        <v>5.0835990037359901E-3</v>
      </c>
      <c r="AF15" s="122">
        <f t="shared" si="10"/>
        <v>0.25</v>
      </c>
      <c r="AG15" s="121">
        <f t="shared" si="11"/>
        <v>5.0835990037359901E-3</v>
      </c>
      <c r="AH15" s="123">
        <f t="shared" si="12"/>
        <v>1</v>
      </c>
      <c r="AI15" s="184">
        <f t="shared" si="13"/>
        <v>5.0835990037359901E-3</v>
      </c>
      <c r="AJ15" s="120">
        <f t="shared" si="14"/>
        <v>5.0835990037359901E-3</v>
      </c>
      <c r="AK15" s="119">
        <f t="shared" si="15"/>
        <v>5.0835990037359901E-3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4.7073474470734743E-4</v>
      </c>
      <c r="J16" s="24">
        <f t="shared" si="17"/>
        <v>4.7073474470734743E-4</v>
      </c>
      <c r="K16" s="22">
        <f t="shared" ref="K16:K25" si="21">B16</f>
        <v>4.7073474470734743E-4</v>
      </c>
      <c r="L16" s="22">
        <f t="shared" ref="L16:L25" si="22">IF(K16="","",K16*H16)</f>
        <v>4.7073474470734743E-4</v>
      </c>
      <c r="M16" s="226">
        <f t="shared" ref="M16:M25" si="23">J16</f>
        <v>4.7073474470734743E-4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44610.105267031249</v>
      </c>
      <c r="T23" s="179">
        <f>SUM(T7:T22)</f>
        <v>44639.42681431536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0.43950938954507901</v>
      </c>
      <c r="J30" s="231">
        <f>IF(I$32&lt;=1,I30,1-SUM(J6:J29))</f>
        <v>0.43950938954507901</v>
      </c>
      <c r="K30" s="22">
        <f t="shared" si="4"/>
        <v>0.5826586550435866</v>
      </c>
      <c r="L30" s="22">
        <f>IF(L124=L119,0,IF(K30="",0,(L119-L124)/(B119-B124)*K30))</f>
        <v>0.31995760602931023</v>
      </c>
      <c r="M30" s="175">
        <f t="shared" si="6"/>
        <v>0.43950938954507901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2884.7825851027301</v>
      </c>
      <c r="T30" s="234">
        <f t="shared" si="24"/>
        <v>2855.4610378186189</v>
      </c>
      <c r="U30" s="56"/>
      <c r="V30" s="56"/>
      <c r="W30" s="110"/>
      <c r="X30" s="118"/>
      <c r="Y30" s="184">
        <f>M30*4</f>
        <v>1.758037558180316</v>
      </c>
      <c r="Z30" s="122">
        <f>IF($Y30=0,0,AA30/($Y$30))</f>
        <v>0.10830028340868146</v>
      </c>
      <c r="AA30" s="188">
        <f>IF(AA79*4/$I$83+SUM(AA6:AA29)&lt;1,AA79*4/$I$83,1-SUM(AA6:AA29))</f>
        <v>0.19039596579403456</v>
      </c>
      <c r="AB30" s="122">
        <f>IF($Y30=0,0,AC30/($Y$30))</f>
        <v>0.10830028340868146</v>
      </c>
      <c r="AC30" s="188">
        <f>IF(AC79*4/$I$83+SUM(AC6:AC29)&lt;1,AC79*4/$I$83,1-SUM(AC6:AC29))</f>
        <v>0.19039596579403456</v>
      </c>
      <c r="AD30" s="122">
        <f>IF($Y30=0,0,AE30/($Y$30))</f>
        <v>0.10830028340868146</v>
      </c>
      <c r="AE30" s="188">
        <f>IF(AE79*4/$I$83+SUM(AE6:AE29)&lt;1,AE79*4/$I$83,1-SUM(AE6:AE29))</f>
        <v>0.19039596579403456</v>
      </c>
      <c r="AF30" s="122">
        <f>IF($Y30=0,0,AG30/($Y$30))</f>
        <v>0.10830028340868146</v>
      </c>
      <c r="AG30" s="188">
        <f>IF(AG79*4/$I$83+SUM(AG6:AG29)&lt;1,AG79*4/$I$83,1-SUM(AG6:AG29))</f>
        <v>0.19039596579403456</v>
      </c>
      <c r="AH30" s="123">
        <f t="shared" si="12"/>
        <v>0.43320113363472584</v>
      </c>
      <c r="AI30" s="184">
        <f t="shared" si="13"/>
        <v>0.19039596579403456</v>
      </c>
      <c r="AJ30" s="120">
        <f t="shared" si="14"/>
        <v>0.19039596579403456</v>
      </c>
      <c r="AK30" s="119">
        <f t="shared" si="15"/>
        <v>0.19039596579403456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8.3725715103425857E-2</v>
      </c>
      <c r="K31" s="22" t="str">
        <f t="shared" si="4"/>
        <v/>
      </c>
      <c r="L31" s="22">
        <f>(1-SUM(L6:L30))</f>
        <v>0.1758018081070547</v>
      </c>
      <c r="M31" s="241">
        <f t="shared" si="6"/>
        <v>8.3725715103425857E-2</v>
      </c>
      <c r="N31" s="167">
        <f>M31*I83</f>
        <v>2855.4610378186153</v>
      </c>
      <c r="P31" s="22"/>
      <c r="Q31" s="238" t="s">
        <v>142</v>
      </c>
      <c r="R31" s="234">
        <f t="shared" si="24"/>
        <v>7777.2506387823814</v>
      </c>
      <c r="S31" s="234">
        <f t="shared" si="24"/>
        <v>19308.809251769402</v>
      </c>
      <c r="T31" s="234">
        <f>IF(T25&gt;T$23,T25-T$23,0)</f>
        <v>19279.487704485291</v>
      </c>
      <c r="U31" s="242">
        <f>T31/$B$81</f>
        <v>2409.9359630606614</v>
      </c>
      <c r="V31" s="56"/>
      <c r="W31" s="129" t="s">
        <v>84</v>
      </c>
      <c r="X31" s="130"/>
      <c r="Y31" s="121">
        <f>M31*4</f>
        <v>0.33490286041370343</v>
      </c>
      <c r="Z31" s="131"/>
      <c r="AA31" s="132">
        <f>1-AA32+IF($Y32&lt;0,$Y32/4,0)</f>
        <v>0.1868276148818675</v>
      </c>
      <c r="AB31" s="131"/>
      <c r="AC31" s="133">
        <f>1-AC32+IF($Y32&lt;0,$Y32/4,0)</f>
        <v>0.39780458250328721</v>
      </c>
      <c r="AD31" s="134"/>
      <c r="AE31" s="133">
        <f>1-AE32+IF($Y32&lt;0,$Y32/4,0)</f>
        <v>0.39123391002508057</v>
      </c>
      <c r="AF31" s="134"/>
      <c r="AG31" s="133">
        <f>1-AG32+IF($Y32&lt;0,$Y32/4,0)</f>
        <v>0.37456828113342433</v>
      </c>
      <c r="AH31" s="123"/>
      <c r="AI31" s="183">
        <f>SUM(AA31,AC31,AE31,AG31)/4</f>
        <v>0.3376085971359149</v>
      </c>
      <c r="AJ31" s="135">
        <f t="shared" si="14"/>
        <v>0.29231609869257735</v>
      </c>
      <c r="AK31" s="136">
        <f t="shared" si="15"/>
        <v>0.38290109557925245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0.91627428489657414</v>
      </c>
      <c r="J32" s="17"/>
      <c r="L32" s="22">
        <f>SUM(L6:L30)</f>
        <v>0.8241981918929453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52046.7292517694</v>
      </c>
      <c r="T32" s="234">
        <f t="shared" si="24"/>
        <v>52017.407704485289</v>
      </c>
      <c r="U32" s="56"/>
      <c r="V32" s="56"/>
      <c r="W32" s="110"/>
      <c r="X32" s="118"/>
      <c r="Y32" s="115">
        <f>SUM(Y6:Y31)</f>
        <v>3.9809221668742216</v>
      </c>
      <c r="Z32" s="137"/>
      <c r="AA32" s="138">
        <f>SUM(AA6:AA30)</f>
        <v>0.8131723851181325</v>
      </c>
      <c r="AB32" s="137"/>
      <c r="AC32" s="139">
        <f>SUM(AC6:AC30)</f>
        <v>0.60219541749671279</v>
      </c>
      <c r="AD32" s="137"/>
      <c r="AE32" s="139">
        <f>SUM(AE6:AE30)</f>
        <v>0.60876608997491943</v>
      </c>
      <c r="AF32" s="137"/>
      <c r="AG32" s="139">
        <f>SUM(AG6:AG30)</f>
        <v>0.62543171886657567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2.7021767842707858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16424.026666666668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67.199999999999989</v>
      </c>
      <c r="J46" s="38">
        <f t="shared" si="32"/>
        <v>67.2</v>
      </c>
      <c r="K46" s="40">
        <f t="shared" si="33"/>
        <v>1.5195643915410916E-3</v>
      </c>
      <c r="L46" s="22">
        <f t="shared" si="34"/>
        <v>2.1273901481575282E-3</v>
      </c>
      <c r="M46" s="24">
        <f t="shared" si="35"/>
        <v>2.1273901481575282E-3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16.8</v>
      </c>
      <c r="AB46" s="156">
        <f>Poor!AB46</f>
        <v>0.25</v>
      </c>
      <c r="AC46" s="147">
        <f t="shared" si="41"/>
        <v>16.8</v>
      </c>
      <c r="AD46" s="156">
        <f>Poor!AD46</f>
        <v>0.25</v>
      </c>
      <c r="AE46" s="147">
        <f t="shared" si="42"/>
        <v>16.8</v>
      </c>
      <c r="AF46" s="122">
        <f t="shared" si="29"/>
        <v>0.25</v>
      </c>
      <c r="AG46" s="147">
        <f t="shared" si="36"/>
        <v>16.8</v>
      </c>
      <c r="AH46" s="123">
        <f t="shared" si="37"/>
        <v>1</v>
      </c>
      <c r="AI46" s="112">
        <f t="shared" si="37"/>
        <v>67.2</v>
      </c>
      <c r="AJ46" s="148">
        <f t="shared" si="38"/>
        <v>33.6</v>
      </c>
      <c r="AK46" s="147">
        <f t="shared" si="39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777.00000000000011</v>
      </c>
      <c r="J48" s="38">
        <f t="shared" si="32"/>
        <v>777</v>
      </c>
      <c r="K48" s="40">
        <f t="shared" si="33"/>
        <v>2.2160314043307584E-2</v>
      </c>
      <c r="L48" s="22">
        <f t="shared" si="34"/>
        <v>2.4597948588071419E-2</v>
      </c>
      <c r="M48" s="24">
        <f t="shared" si="35"/>
        <v>2.4597948588071419E-2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194.25</v>
      </c>
      <c r="AB48" s="156">
        <f>Poor!AB48</f>
        <v>0.25</v>
      </c>
      <c r="AC48" s="147">
        <f t="shared" si="41"/>
        <v>194.25</v>
      </c>
      <c r="AD48" s="156">
        <f>Poor!AD48</f>
        <v>0.25</v>
      </c>
      <c r="AE48" s="147">
        <f t="shared" si="42"/>
        <v>194.25</v>
      </c>
      <c r="AF48" s="122">
        <f t="shared" si="29"/>
        <v>0.25</v>
      </c>
      <c r="AG48" s="147">
        <f t="shared" si="36"/>
        <v>194.25</v>
      </c>
      <c r="AH48" s="123">
        <f t="shared" si="37"/>
        <v>1</v>
      </c>
      <c r="AI48" s="112">
        <f t="shared" si="37"/>
        <v>777</v>
      </c>
      <c r="AJ48" s="148">
        <f t="shared" si="38"/>
        <v>388.5</v>
      </c>
      <c r="AK48" s="147">
        <f t="shared" si="39"/>
        <v>388.5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4395.6000000000004</v>
      </c>
      <c r="J49" s="38">
        <f t="shared" si="32"/>
        <v>4395.6000000000004</v>
      </c>
      <c r="K49" s="40">
        <f t="shared" si="33"/>
        <v>0.12536406230214006</v>
      </c>
      <c r="L49" s="22">
        <f t="shared" si="34"/>
        <v>0.13915410915537549</v>
      </c>
      <c r="M49" s="24">
        <f t="shared" si="35"/>
        <v>0.13915410915537546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1098.9000000000001</v>
      </c>
      <c r="AB49" s="156">
        <f>Poor!AB49</f>
        <v>0.25</v>
      </c>
      <c r="AC49" s="147">
        <f t="shared" si="41"/>
        <v>1098.9000000000001</v>
      </c>
      <c r="AD49" s="156">
        <f>Poor!AD49</f>
        <v>0.25</v>
      </c>
      <c r="AE49" s="147">
        <f t="shared" si="42"/>
        <v>1098.9000000000001</v>
      </c>
      <c r="AF49" s="122">
        <f t="shared" si="29"/>
        <v>0.25</v>
      </c>
      <c r="AG49" s="147">
        <f t="shared" si="36"/>
        <v>1098.9000000000001</v>
      </c>
      <c r="AH49" s="123">
        <f t="shared" si="37"/>
        <v>1</v>
      </c>
      <c r="AI49" s="112">
        <f t="shared" si="37"/>
        <v>4395.6000000000004</v>
      </c>
      <c r="AJ49" s="148">
        <f t="shared" si="38"/>
        <v>2197.8000000000002</v>
      </c>
      <c r="AK49" s="147">
        <f t="shared" si="39"/>
        <v>2197.8000000000002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36051.96</v>
      </c>
      <c r="J65" s="39">
        <f>SUM(J37:J64)</f>
        <v>36051.96</v>
      </c>
      <c r="K65" s="40">
        <f>SUM(K37:K64)</f>
        <v>1</v>
      </c>
      <c r="L65" s="22">
        <f>SUM(L37:L64)</f>
        <v>1.1413182221096618</v>
      </c>
      <c r="M65" s="24">
        <f>SUM(M37:M64)</f>
        <v>1.1413182221096618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6888.99</v>
      </c>
      <c r="AB65" s="137"/>
      <c r="AC65" s="153">
        <f>SUM(AC37:AC64)</f>
        <v>6888.99</v>
      </c>
      <c r="AD65" s="137"/>
      <c r="AE65" s="153">
        <f>SUM(AE37:AE64)</f>
        <v>6888.99</v>
      </c>
      <c r="AF65" s="137"/>
      <c r="AG65" s="153">
        <f>SUM(AG37:AG64)</f>
        <v>6888.99</v>
      </c>
      <c r="AH65" s="137"/>
      <c r="AI65" s="153">
        <f>SUM(AI37:AI64)</f>
        <v>27555.96</v>
      </c>
      <c r="AJ65" s="153">
        <f>SUM(AJ37:AJ64)</f>
        <v>13777.98</v>
      </c>
      <c r="AK65" s="153">
        <f>SUM(AK37:AK64)</f>
        <v>13777.98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14989.44423527612</v>
      </c>
      <c r="J71" s="51">
        <f t="shared" si="44"/>
        <v>14989.44423527612</v>
      </c>
      <c r="K71" s="40">
        <f t="shared" ref="K71:K72" si="47">B71/B$76</f>
        <v>0.44063146342492931</v>
      </c>
      <c r="L71" s="22">
        <f t="shared" si="45"/>
        <v>0.47452970226909336</v>
      </c>
      <c r="M71" s="24">
        <f t="shared" ref="M71:M72" si="48">J71/B$76</f>
        <v>0.4745297022690933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14989.44423527612</v>
      </c>
      <c r="J74" s="51">
        <f t="shared" si="44"/>
        <v>14989.44423527612</v>
      </c>
      <c r="K74" s="40">
        <f>B74/B$76</f>
        <v>0.3812637381029424</v>
      </c>
      <c r="L74" s="22">
        <f t="shared" si="45"/>
        <v>0.34545197699865704</v>
      </c>
      <c r="M74" s="24">
        <f>J74/B$76</f>
        <v>0.4745297022690933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1623.3610588190304</v>
      </c>
      <c r="AB74" s="156"/>
      <c r="AC74" s="147">
        <f>AC30*$I$83/4</f>
        <v>1623.3610588190304</v>
      </c>
      <c r="AD74" s="156"/>
      <c r="AE74" s="147">
        <f>AE30*$I$83/4</f>
        <v>1623.3610588190304</v>
      </c>
      <c r="AF74" s="156"/>
      <c r="AG74" s="147">
        <f>AG30*$I$83/4</f>
        <v>1623.3610588190304</v>
      </c>
      <c r="AH74" s="155"/>
      <c r="AI74" s="147">
        <f>SUM(AA74,AC74,AE74,AG74)</f>
        <v>6493.4442352761216</v>
      </c>
      <c r="AJ74" s="148">
        <f>(AA74+AC74)</f>
        <v>3246.7221176380608</v>
      </c>
      <c r="AK74" s="147">
        <f>(AE74+AG74)</f>
        <v>3246.7221176380608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36051.96</v>
      </c>
      <c r="J76" s="51">
        <f t="shared" si="44"/>
        <v>36051.96</v>
      </c>
      <c r="K76" s="40">
        <f>SUM(K70:K75)</f>
        <v>2.2432784520552844</v>
      </c>
      <c r="L76" s="22">
        <f>SUM(L70:L75)</f>
        <v>1.4867701991083191</v>
      </c>
      <c r="M76" s="24">
        <f>SUM(M70:M75)</f>
        <v>1.6158479243787551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6888.99</v>
      </c>
      <c r="AB76" s="137"/>
      <c r="AC76" s="153">
        <f>AC65</f>
        <v>6888.99</v>
      </c>
      <c r="AD76" s="137"/>
      <c r="AE76" s="153">
        <f>AE65</f>
        <v>6888.99</v>
      </c>
      <c r="AF76" s="137"/>
      <c r="AG76" s="153">
        <f>AG65</f>
        <v>6888.99</v>
      </c>
      <c r="AH76" s="137"/>
      <c r="AI76" s="153">
        <f>SUM(AA76,AC76,AE76,AG76)</f>
        <v>27555.96</v>
      </c>
      <c r="AJ76" s="154">
        <f>SUM(AA76,AC76)</f>
        <v>13777.98</v>
      </c>
      <c r="AK76" s="154">
        <f>SUM(AE76,AG76)</f>
        <v>13777.98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44"/>
        <v>16424.026666666668</v>
      </c>
      <c r="K77" s="40"/>
      <c r="L77" s="22">
        <f>-(L131*G$37*F$9/F$7)/B$130</f>
        <v>-0.51994512684141669</v>
      </c>
      <c r="M77" s="24">
        <f>-J77/B$76</f>
        <v>-0.51994512684141658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1592.9364545431195</v>
      </c>
      <c r="AB77" s="112"/>
      <c r="AC77" s="111">
        <f>AC31*$I$83/4</f>
        <v>3391.776005139664</v>
      </c>
      <c r="AD77" s="112"/>
      <c r="AE77" s="111">
        <f>AE31*$I$83/4</f>
        <v>3335.7528967356056</v>
      </c>
      <c r="AF77" s="112"/>
      <c r="AG77" s="111">
        <f>AG31*$I$83/4</f>
        <v>3193.657801124647</v>
      </c>
      <c r="AH77" s="110"/>
      <c r="AI77" s="154">
        <f>SUM(AA77,AC77,AE77,AG77)</f>
        <v>11514.123157543037</v>
      </c>
      <c r="AJ77" s="153">
        <f>SUM(AA77,AC77)</f>
        <v>4984.7124596827834</v>
      </c>
      <c r="AK77" s="160">
        <f>SUM(AE77,AG77)</f>
        <v>6529.4106978602522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1623.3610588190304</v>
      </c>
      <c r="AB79" s="112"/>
      <c r="AC79" s="112">
        <f>AA79-AA74+AC65-AC70</f>
        <v>1623.3610588190304</v>
      </c>
      <c r="AD79" s="112"/>
      <c r="AE79" s="112">
        <f>AC79-AC74+AE65-AE70</f>
        <v>1623.3610588190304</v>
      </c>
      <c r="AF79" s="112"/>
      <c r="AG79" s="112">
        <f>AE79-AE74+AG65-AG70</f>
        <v>1623.3610588190304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0.84848484848484851</v>
      </c>
      <c r="I100" s="22">
        <f t="shared" si="54"/>
        <v>1.9703886624376403E-3</v>
      </c>
      <c r="J100" s="24">
        <f>IF(I$32&lt;=1+I131,I100,L100+J$33*(I100-L100))</f>
        <v>1.9703886624376403E-3</v>
      </c>
      <c r="K100" s="22">
        <f t="shared" si="56"/>
        <v>2.322243780730076E-3</v>
      </c>
      <c r="L100" s="22">
        <f t="shared" si="57"/>
        <v>1.9703886624376403E-3</v>
      </c>
      <c r="M100" s="228">
        <f t="shared" si="49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0.67272727272727284</v>
      </c>
      <c r="I102" s="22">
        <f t="shared" si="54"/>
        <v>2.2782618909435216E-2</v>
      </c>
      <c r="J102" s="24">
        <f>IF(I$32&lt;=1+I131,I102,L102+J$33*(I102-L102))</f>
        <v>2.2782618909435216E-2</v>
      </c>
      <c r="K102" s="22">
        <f t="shared" si="56"/>
        <v>3.3866055135646937E-2</v>
      </c>
      <c r="L102" s="22">
        <f t="shared" si="57"/>
        <v>2.2782618909435216E-2</v>
      </c>
      <c r="M102" s="228">
        <f t="shared" si="49"/>
        <v>2.2782618909435216E-2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0.67272727272727284</v>
      </c>
      <c r="I103" s="22">
        <f t="shared" si="54"/>
        <v>0.12888452983051923</v>
      </c>
      <c r="J103" s="24">
        <f>IF(I$32&lt;=1+I131,I103,L103+J$33*(I103-L103))</f>
        <v>0.12888452983051923</v>
      </c>
      <c r="K103" s="22">
        <f t="shared" si="56"/>
        <v>0.19158511191023125</v>
      </c>
      <c r="L103" s="22">
        <f t="shared" si="57"/>
        <v>0.12888452983051923</v>
      </c>
      <c r="M103" s="228">
        <f t="shared" si="49"/>
        <v>0.12888452983051923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0.57212121212121214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1.0570888875395135</v>
      </c>
      <c r="J119" s="24">
        <f>SUM(J91:J118)</f>
        <v>1.0570888875395135</v>
      </c>
      <c r="K119" s="22">
        <f>SUM(K91:K118)</f>
        <v>1.5282299280354505</v>
      </c>
      <c r="L119" s="22">
        <f>SUM(L91:L118)</f>
        <v>1.0570888875395135</v>
      </c>
      <c r="M119" s="57">
        <f t="shared" si="49"/>
        <v>1.0570888875395135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0.43950938954507901</v>
      </c>
      <c r="J125" s="237">
        <f>IF(SUMPRODUCT($B$124:$B125,$H$124:$H125)&lt;J$119,($B125*$H125),IF(SUMPRODUCT($B$124:$B124,$H$124:$H124)&lt;J$119,J$119-SUMPRODUCT($B$124:$B124,$H$124:$H124),0))</f>
        <v>0.43950938954507901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0.43950938954507901</v>
      </c>
      <c r="M125" s="240">
        <f t="shared" si="66"/>
        <v>0.43950938954507901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0.43950938954507901</v>
      </c>
      <c r="J128" s="228">
        <f>(J30)</f>
        <v>0.43950938954507901</v>
      </c>
      <c r="K128" s="29">
        <f>(B128)</f>
        <v>0.5826586550435866</v>
      </c>
      <c r="L128" s="29">
        <f>IF(L124=L119,0,(L119-L124)/(B119-B124)*K128)</f>
        <v>0.31995760602931023</v>
      </c>
      <c r="M128" s="240">
        <f t="shared" si="66"/>
        <v>0.43950938954507901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1.0570888875395135</v>
      </c>
      <c r="J130" s="228">
        <f>(J119)</f>
        <v>1.0570888875395135</v>
      </c>
      <c r="K130" s="29">
        <f>(B130)</f>
        <v>1.5282299280354505</v>
      </c>
      <c r="L130" s="29">
        <f>(L119)</f>
        <v>1.0570888875395135</v>
      </c>
      <c r="M130" s="240">
        <f t="shared" si="66"/>
        <v>1.0570888875395135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0.48157315380317667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1.0132574136052305E-2</v>
      </c>
      <c r="J6" s="24">
        <f t="shared" ref="J6:J13" si="3">IF(I$32&lt;=1+I$131,I6,B6*H6+J$33*(I6-B6*H6))</f>
        <v>1.0132574136052305E-2</v>
      </c>
      <c r="K6" s="22">
        <f t="shared" ref="K6:K31" si="4">B6</f>
        <v>2.026514827210461E-2</v>
      </c>
      <c r="L6" s="22">
        <f t="shared" ref="L6:L29" si="5">IF(K6="","",K6*H6)</f>
        <v>1.0132574136052305E-2</v>
      </c>
      <c r="M6" s="224">
        <f t="shared" ref="M6:M31" si="6">J6</f>
        <v>1.0132574136052305E-2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4.053029654420922E-2</v>
      </c>
      <c r="Z6" s="116">
        <v>0.17</v>
      </c>
      <c r="AA6" s="121">
        <f>$M6*Z6*4</f>
        <v>6.890150412515568E-3</v>
      </c>
      <c r="AB6" s="116">
        <v>0.17</v>
      </c>
      <c r="AC6" s="121">
        <f t="shared" ref="AC6:AC29" si="7">$M6*AB6*4</f>
        <v>6.890150412515568E-3</v>
      </c>
      <c r="AD6" s="116">
        <v>0.33</v>
      </c>
      <c r="AE6" s="121">
        <f t="shared" ref="AE6:AE29" si="8">$M6*AD6*4</f>
        <v>1.3374997859589044E-2</v>
      </c>
      <c r="AF6" s="122">
        <f>1-SUM(Z6,AB6,AD6)</f>
        <v>0.32999999999999996</v>
      </c>
      <c r="AG6" s="121">
        <f>$M6*AF6*4</f>
        <v>1.337499785958904E-2</v>
      </c>
      <c r="AH6" s="123">
        <f>SUM(Z6,AB6,AD6,AF6)</f>
        <v>1</v>
      </c>
      <c r="AI6" s="184">
        <f>SUM(AA6,AC6,AE6,AG6)/4</f>
        <v>1.0132574136052305E-2</v>
      </c>
      <c r="AJ6" s="120">
        <f>(AA6+AC6)/2</f>
        <v>6.890150412515568E-3</v>
      </c>
      <c r="AK6" s="119">
        <f>(AE6+AG6)/2</f>
        <v>1.3374997859589042E-2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7.4999999999999997E-3</v>
      </c>
      <c r="J7" s="24">
        <f t="shared" si="3"/>
        <v>7.4999999999999997E-3</v>
      </c>
      <c r="K7" s="22">
        <f t="shared" si="4"/>
        <v>7.4999999999999997E-3</v>
      </c>
      <c r="L7" s="22">
        <f t="shared" si="5"/>
        <v>7.4999999999999997E-3</v>
      </c>
      <c r="M7" s="224">
        <f t="shared" si="6"/>
        <v>7.4999999999999997E-3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3810.1961120876813</v>
      </c>
      <c r="T7" s="222">
        <f>IF($B$81=0,0,(SUMIF($N$6:$N$28,$U7,M$6:M$28)+SUMIF($N$91:$N$118,$U7,M$91:M$118))*$I$83*Poor!$B$81/$B$81)</f>
        <v>5120.9524914386247</v>
      </c>
      <c r="U7" s="223">
        <v>1</v>
      </c>
      <c r="V7" s="56"/>
      <c r="W7" s="115"/>
      <c r="X7" s="124">
        <v>4</v>
      </c>
      <c r="Y7" s="184">
        <f t="shared" ref="Y7:Y29" si="9">M7*4</f>
        <v>0.03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0.03</v>
      </c>
      <c r="AH7" s="123">
        <f t="shared" ref="AH7:AH30" si="12">SUM(Z7,AB7,AD7,AF7)</f>
        <v>1</v>
      </c>
      <c r="AI7" s="184">
        <f t="shared" ref="AI7:AI30" si="13">SUM(AA7,AC7,AE7,AG7)/4</f>
        <v>7.4999999999999997E-3</v>
      </c>
      <c r="AJ7" s="120">
        <f t="shared" ref="AJ7:AJ31" si="14">(AA7+AC7)/2</f>
        <v>0</v>
      </c>
      <c r="AK7" s="119">
        <f t="shared" ref="AK7:AK31" si="15">(AE7+AG7)/2</f>
        <v>1.4999999999999999E-2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3.1589554016189292E-2</v>
      </c>
      <c r="J8" s="24">
        <f t="shared" si="3"/>
        <v>3.1589554016189292E-2</v>
      </c>
      <c r="K8" s="22">
        <f t="shared" si="4"/>
        <v>2.8981242216687422E-2</v>
      </c>
      <c r="L8" s="22">
        <f t="shared" si="5"/>
        <v>3.1589554016189292E-2</v>
      </c>
      <c r="M8" s="224">
        <f t="shared" si="6"/>
        <v>3.1589554016189292E-2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2661.3999999999992</v>
      </c>
      <c r="T8" s="222">
        <f>IF($B$81=0,0,(SUMIF($N$6:$N$28,$U8,M$6:M$28)+SUMIF($N$91:$N$118,$U8,M$91:M$118))*$I$83*Poor!$B$81/$B$81)</f>
        <v>725.2</v>
      </c>
      <c r="U8" s="223">
        <v>2</v>
      </c>
      <c r="V8" s="185"/>
      <c r="W8" s="115"/>
      <c r="X8" s="124">
        <v>1</v>
      </c>
      <c r="Y8" s="184">
        <f t="shared" si="9"/>
        <v>0.12635821606475717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0.12635821606475717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3.1589554016189292E-2</v>
      </c>
      <c r="AJ8" s="120">
        <f t="shared" si="14"/>
        <v>6.3179108032378584E-2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1</v>
      </c>
      <c r="F9" s="28">
        <v>8800</v>
      </c>
      <c r="H9" s="24">
        <f t="shared" si="1"/>
        <v>1</v>
      </c>
      <c r="I9" s="22">
        <f t="shared" si="2"/>
        <v>6.4726027397260272E-4</v>
      </c>
      <c r="J9" s="24">
        <f t="shared" si="3"/>
        <v>6.4726027397260272E-4</v>
      </c>
      <c r="K9" s="22">
        <f t="shared" si="4"/>
        <v>6.4726027397260272E-4</v>
      </c>
      <c r="L9" s="22">
        <f t="shared" si="5"/>
        <v>6.4726027397260272E-4</v>
      </c>
      <c r="M9" s="224">
        <f t="shared" si="6"/>
        <v>6.4726027397260272E-4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345.57089924600831</v>
      </c>
      <c r="T9" s="222">
        <f>IF($B$81=0,0,(SUMIF($N$6:$N$28,$U9,M$6:M$28)+SUMIF($N$91:$N$118,$U9,M$91:M$118))*$I$83*Poor!$B$81/$B$81)</f>
        <v>345.57089924600831</v>
      </c>
      <c r="U9" s="223">
        <v>3</v>
      </c>
      <c r="V9" s="56"/>
      <c r="W9" s="115"/>
      <c r="X9" s="124">
        <v>1</v>
      </c>
      <c r="Y9" s="184">
        <f t="shared" si="9"/>
        <v>2.5890410958904109E-3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2.5890410958904109E-3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6.4726027397260272E-4</v>
      </c>
      <c r="AJ9" s="120">
        <f t="shared" si="14"/>
        <v>1.2945205479452054E-3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1</v>
      </c>
      <c r="H10" s="24">
        <f t="shared" si="1"/>
        <v>1</v>
      </c>
      <c r="I10" s="22">
        <f t="shared" si="2"/>
        <v>1.2980285725404732E-2</v>
      </c>
      <c r="J10" s="24">
        <f t="shared" si="3"/>
        <v>1.2980285725404732E-2</v>
      </c>
      <c r="K10" s="22">
        <f t="shared" si="4"/>
        <v>2.0437045610211705E-2</v>
      </c>
      <c r="L10" s="22">
        <f t="shared" si="5"/>
        <v>2.0437045610211705E-2</v>
      </c>
      <c r="M10" s="224">
        <f t="shared" si="6"/>
        <v>1.2980285725404732E-2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5.1921142901618929E-2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5.1921142901618929E-2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1.2980285725404732E-2</v>
      </c>
      <c r="AJ10" s="120">
        <f t="shared" si="14"/>
        <v>2.5960571450809464E-2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1</v>
      </c>
      <c r="H11" s="24">
        <f t="shared" si="1"/>
        <v>1</v>
      </c>
      <c r="I11" s="22">
        <f t="shared" si="2"/>
        <v>3.2123287671232875E-2</v>
      </c>
      <c r="J11" s="24">
        <f t="shared" si="3"/>
        <v>3.2123287671232875E-2</v>
      </c>
      <c r="K11" s="22">
        <f t="shared" si="4"/>
        <v>1.0554794520547944E-2</v>
      </c>
      <c r="L11" s="22">
        <f t="shared" si="5"/>
        <v>1.0554794520547944E-2</v>
      </c>
      <c r="M11" s="224">
        <f t="shared" si="6"/>
        <v>3.2123287671232875E-2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4577.4559999999992</v>
      </c>
      <c r="T11" s="222">
        <f>IF($B$81=0,0,(SUMIF($N$6:$N$28,$U11,M$6:M$28)+SUMIF($N$91:$N$118,$U11,M$91:M$118))*$I$83*Poor!$B$81/$B$81)</f>
        <v>4577.4559999999992</v>
      </c>
      <c r="U11" s="223">
        <v>5</v>
      </c>
      <c r="V11" s="56"/>
      <c r="W11" s="115"/>
      <c r="X11" s="124">
        <v>1</v>
      </c>
      <c r="Y11" s="184">
        <f t="shared" si="9"/>
        <v>0.1284931506849315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0.1284931506849315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3.2123287671232875E-2</v>
      </c>
      <c r="AJ11" s="120">
        <f t="shared" si="14"/>
        <v>6.424657534246575E-2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1</v>
      </c>
      <c r="H12" s="24">
        <f t="shared" si="1"/>
        <v>1</v>
      </c>
      <c r="I12" s="22">
        <f t="shared" si="2"/>
        <v>1.4342699252801993E-2</v>
      </c>
      <c r="J12" s="24">
        <f t="shared" si="3"/>
        <v>1.4342699252801993E-2</v>
      </c>
      <c r="K12" s="22">
        <f t="shared" si="4"/>
        <v>6.9874688667496887E-3</v>
      </c>
      <c r="L12" s="22">
        <f t="shared" si="5"/>
        <v>6.9874688667496887E-3</v>
      </c>
      <c r="M12" s="224">
        <f t="shared" si="6"/>
        <v>1.4342699252801993E-2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487.314780573946</v>
      </c>
      <c r="U12" s="223">
        <v>6</v>
      </c>
      <c r="V12" s="56"/>
      <c r="W12" s="117"/>
      <c r="X12" s="118"/>
      <c r="Y12" s="184">
        <f t="shared" si="9"/>
        <v>5.7370797011207973E-2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3.8438433997509347E-2</v>
      </c>
      <c r="AF12" s="122">
        <f>1-SUM(Z12,AB12,AD12)</f>
        <v>0.32999999999999996</v>
      </c>
      <c r="AG12" s="121">
        <f>$M12*AF12*4</f>
        <v>1.893236301369863E-2</v>
      </c>
      <c r="AH12" s="123">
        <f t="shared" si="12"/>
        <v>1</v>
      </c>
      <c r="AI12" s="184">
        <f t="shared" si="13"/>
        <v>1.4342699252801995E-2</v>
      </c>
      <c r="AJ12" s="120">
        <f t="shared" si="14"/>
        <v>0</v>
      </c>
      <c r="AK12" s="119">
        <f t="shared" si="15"/>
        <v>2.868539850560399E-2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1</v>
      </c>
      <c r="H13" s="24">
        <f t="shared" si="1"/>
        <v>1</v>
      </c>
      <c r="I13" s="22">
        <f t="shared" si="2"/>
        <v>3.7266500622665004E-2</v>
      </c>
      <c r="J13" s="24">
        <f t="shared" si="3"/>
        <v>3.7266500622665004E-2</v>
      </c>
      <c r="K13" s="22">
        <f t="shared" si="4"/>
        <v>2.2359900373599004E-2</v>
      </c>
      <c r="L13" s="22">
        <f t="shared" si="5"/>
        <v>2.2359900373599004E-2</v>
      </c>
      <c r="M13" s="225">
        <f t="shared" si="6"/>
        <v>3.7266500622665004E-2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0.14906600249066002</v>
      </c>
      <c r="Z13" s="116">
        <v>1</v>
      </c>
      <c r="AA13" s="121">
        <f>$M13*Z13*4</f>
        <v>0.14906600249066002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3.7266500622665004E-2</v>
      </c>
      <c r="AJ13" s="120">
        <f t="shared" si="14"/>
        <v>7.4533001245330008E-2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1</v>
      </c>
      <c r="F14" s="22"/>
      <c r="H14" s="24">
        <f t="shared" si="1"/>
        <v>1</v>
      </c>
      <c r="I14" s="22">
        <f t="shared" si="2"/>
        <v>6.4072229140722291E-3</v>
      </c>
      <c r="J14" s="24">
        <f>IF(I$32&lt;=1+I131,I14,B14*H14+J$33*(I14-B14*H14))</f>
        <v>6.4072229140722291E-3</v>
      </c>
      <c r="K14" s="22">
        <f t="shared" si="4"/>
        <v>4.3477584059775842E-3</v>
      </c>
      <c r="L14" s="22">
        <f t="shared" si="5"/>
        <v>4.3477584059775842E-3</v>
      </c>
      <c r="M14" s="225">
        <f t="shared" si="6"/>
        <v>6.4072229140722291E-3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2.5628891656288916E-2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2.5628891656288916E-2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6.4072229140722291E-3</v>
      </c>
      <c r="AJ14" s="120">
        <f t="shared" si="14"/>
        <v>1.2814445828144458E-2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1</v>
      </c>
      <c r="F15" s="22"/>
      <c r="H15" s="24">
        <f t="shared" si="1"/>
        <v>1</v>
      </c>
      <c r="I15" s="22">
        <f t="shared" si="2"/>
        <v>6.3544987546699881E-3</v>
      </c>
      <c r="J15" s="24">
        <f>IF(I$32&lt;=1+I131,I15,B15*H15+J$33*(I15-B15*H15))</f>
        <v>6.3544987546699881E-3</v>
      </c>
      <c r="K15" s="22">
        <f t="shared" si="4"/>
        <v>6.3544987546699881E-3</v>
      </c>
      <c r="L15" s="22">
        <f t="shared" si="5"/>
        <v>6.3544987546699881E-3</v>
      </c>
      <c r="M15" s="226">
        <f t="shared" si="6"/>
        <v>6.3544987546699881E-3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2.5417995018679952E-2</v>
      </c>
      <c r="Z15" s="116">
        <v>0.25</v>
      </c>
      <c r="AA15" s="121">
        <f t="shared" si="16"/>
        <v>6.3544987546699881E-3</v>
      </c>
      <c r="AB15" s="116">
        <v>0.25</v>
      </c>
      <c r="AC15" s="121">
        <f t="shared" si="7"/>
        <v>6.3544987546699881E-3</v>
      </c>
      <c r="AD15" s="116">
        <v>0.25</v>
      </c>
      <c r="AE15" s="121">
        <f t="shared" si="8"/>
        <v>6.3544987546699881E-3</v>
      </c>
      <c r="AF15" s="122">
        <f t="shared" si="10"/>
        <v>0.25</v>
      </c>
      <c r="AG15" s="121">
        <f t="shared" si="11"/>
        <v>6.3544987546699881E-3</v>
      </c>
      <c r="AH15" s="123">
        <f t="shared" si="12"/>
        <v>1</v>
      </c>
      <c r="AI15" s="184">
        <f t="shared" si="13"/>
        <v>6.3544987546699881E-3</v>
      </c>
      <c r="AJ15" s="120">
        <f t="shared" si="14"/>
        <v>6.3544987546699881E-3</v>
      </c>
      <c r="AK15" s="119">
        <f t="shared" si="15"/>
        <v>6.3544987546699881E-3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1</v>
      </c>
      <c r="F16" s="22"/>
      <c r="H16" s="24">
        <f t="shared" si="1"/>
        <v>1</v>
      </c>
      <c r="I16" s="22">
        <f t="shared" si="2"/>
        <v>9.4146948941469487E-4</v>
      </c>
      <c r="J16" s="24">
        <f>IF(I$32&lt;=1+I131,I16,B16*H16+J$33*(I16-B16*H16))</f>
        <v>9.4146948941469487E-4</v>
      </c>
      <c r="K16" s="22">
        <f t="shared" si="4"/>
        <v>9.4146948941469487E-4</v>
      </c>
      <c r="L16" s="22">
        <f t="shared" si="5"/>
        <v>9.4146948941469487E-4</v>
      </c>
      <c r="M16" s="224">
        <f t="shared" si="6"/>
        <v>9.4146948941469487E-4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3.7658779576587795E-3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3.7658779576587795E-3</v>
      </c>
      <c r="AH16" s="123">
        <f t="shared" si="12"/>
        <v>1</v>
      </c>
      <c r="AI16" s="184">
        <f t="shared" si="13"/>
        <v>9.4146948941469487E-4</v>
      </c>
      <c r="AJ16" s="120">
        <f t="shared" si="14"/>
        <v>0</v>
      </c>
      <c r="AK16" s="119">
        <f t="shared" si="15"/>
        <v>1.8829389788293897E-3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1.119318432014529E-3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1.119318432014529E-3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4.4772737280581159E-3</v>
      </c>
      <c r="Z18" s="116">
        <v>1.2941</v>
      </c>
      <c r="AA18" s="121">
        <f t="shared" ref="AA18:AA20" si="25">$M18*Z18*4</f>
        <v>5.7940399314800077E-3</v>
      </c>
      <c r="AB18" s="116">
        <v>1.1765000000000001</v>
      </c>
      <c r="AC18" s="121">
        <f t="shared" ref="AC18:AC20" si="26">$M18*AB18*4</f>
        <v>5.2675125410603738E-3</v>
      </c>
      <c r="AD18" s="116">
        <v>1.2353000000000001</v>
      </c>
      <c r="AE18" s="121">
        <f t="shared" ref="AE18:AE20" si="27">$M18*AD18*4</f>
        <v>5.5307762362701912E-3</v>
      </c>
      <c r="AF18" s="122">
        <f t="shared" ref="AF18:AF20" si="28">1-SUM(Z18,AB18,AD18)</f>
        <v>-2.7059000000000002</v>
      </c>
      <c r="AG18" s="121">
        <f t="shared" ref="AG18:AG20" si="29">$M18*AF18*4</f>
        <v>-1.2115054980752457E-2</v>
      </c>
      <c r="AH18" s="123">
        <f t="shared" ref="AH18:AH20" si="30">SUM(Z18,AB18,AD18,AF18)</f>
        <v>1</v>
      </c>
      <c r="AI18" s="184">
        <f t="shared" ref="AI18:AI20" si="31">SUM(AA18,AC18,AE18,AG18)/4</f>
        <v>1.119318432014529E-3</v>
      </c>
      <c r="AJ18" s="120">
        <f t="shared" ref="AJ18:AJ20" si="32">(AA18+AC18)/2</f>
        <v>5.5307762362701903E-3</v>
      </c>
      <c r="AK18" s="119">
        <f t="shared" ref="AK18:AK20" si="33">(AE18+AG18)/2</f>
        <v>-3.2921393722411328E-3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60048.227450186991</v>
      </c>
      <c r="T23" s="179">
        <f>SUM(T7:T22)</f>
        <v>59516.00172472452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0.7623480717972928</v>
      </c>
      <c r="J30" s="231">
        <f>IF(I$32&lt;=1,I30,1-SUM(J6:J29))</f>
        <v>0.40987386816002702</v>
      </c>
      <c r="K30" s="22">
        <f t="shared" si="4"/>
        <v>0.66125891656288927</v>
      </c>
      <c r="L30" s="22">
        <f>IF(L124=L119,0,IF(K30="",0,(L119-L124)/(B119-B124)*K30))</f>
        <v>0.40717158471151921</v>
      </c>
      <c r="M30" s="175">
        <f t="shared" si="6"/>
        <v>0.40987386816002702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1.6394954726401081</v>
      </c>
      <c r="Z30" s="122">
        <f>IF($Y30=0,0,AA30/($Y$30))</f>
        <v>5.5803277699532881E-2</v>
      </c>
      <c r="AA30" s="188">
        <f>IF(AA79*4/$I$83+SUM(AA6:AA29)&lt;1,AA79*4/$I$83,1-SUM(AA6:AA29))</f>
        <v>9.1489221146862865E-2</v>
      </c>
      <c r="AB30" s="122">
        <f>IF($Y30=0,0,AC30/($Y$30))</f>
        <v>-0.31619551858911243</v>
      </c>
      <c r="AC30" s="188">
        <f>IF(AC79*4/$I$83+SUM(AC6:AC29)&lt;1,AC79*4/$I$83,1-SUM(AC6:AC29))</f>
        <v>-0.51840112119594095</v>
      </c>
      <c r="AD30" s="122">
        <f>IF($Y30=0,0,AE30/($Y$30))</f>
        <v>-0.31746124976212797</v>
      </c>
      <c r="AE30" s="188">
        <f>IF(AE79*4/$I$83+SUM(AE6:AE29)&lt;1,AE79*4/$I$83,1-SUM(AE6:AE29))</f>
        <v>-0.52047628172367943</v>
      </c>
      <c r="AF30" s="122">
        <f>IF($Y30=0,0,AG30/($Y$30))</f>
        <v>-0.31746124976212797</v>
      </c>
      <c r="AG30" s="188">
        <f>IF(AG79*4/$I$83+SUM(AG6:AG29)&lt;1,AG79*4/$I$83,1-SUM(AG6:AG29))</f>
        <v>-0.52047628172367943</v>
      </c>
      <c r="AH30" s="123">
        <f t="shared" si="12"/>
        <v>-0.89531474041383552</v>
      </c>
      <c r="AI30" s="184">
        <f t="shared" si="13"/>
        <v>-0.36696611587410921</v>
      </c>
      <c r="AJ30" s="120">
        <f t="shared" si="14"/>
        <v>-0.21345595002453904</v>
      </c>
      <c r="AK30" s="119">
        <f t="shared" si="15"/>
        <v>-0.52047628172367943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1.745578597921682E-2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3870.6870686136608</v>
      </c>
      <c r="T31" s="234">
        <f>IF(T25&gt;T$23,T25-T$23,0)</f>
        <v>4402.9127940761318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1.0494104005551412</v>
      </c>
      <c r="AD31" s="134"/>
      <c r="AE31" s="133">
        <f>1-AE32+IF($Y32&lt;0,$Y32/4,0)</f>
        <v>1.0288304729792017</v>
      </c>
      <c r="AF31" s="134"/>
      <c r="AG31" s="133">
        <f>1-AG32+IF($Y32&lt;0,$Y32/4,0)</f>
        <v>1.029119062602202</v>
      </c>
      <c r="AH31" s="123"/>
      <c r="AI31" s="183">
        <f>SUM(AA31,AC31,AE31,AG31)/4</f>
        <v>0.77683998403413623</v>
      </c>
      <c r="AJ31" s="135">
        <f t="shared" si="14"/>
        <v>0.52470520027757062</v>
      </c>
      <c r="AK31" s="136">
        <f t="shared" si="15"/>
        <v>1.028974767790702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1.3526297918055004</v>
      </c>
      <c r="J32" s="17"/>
      <c r="L32" s="22">
        <f>SUM(L6:L30)</f>
        <v>0.98254421402078318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36608.607068613659</v>
      </c>
      <c r="T32" s="234">
        <f t="shared" si="50"/>
        <v>37140.83279407613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-4.9410400555141287E-2</v>
      </c>
      <c r="AD32" s="137"/>
      <c r="AE32" s="139">
        <f>SUM(AE6:AE30)</f>
        <v>-2.8830472979201716E-2</v>
      </c>
      <c r="AF32" s="137"/>
      <c r="AG32" s="139">
        <f>SUM(AG6:AG30)</f>
        <v>-2.9119062602201984E-2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0.38980562103866528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4402.91279407612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3776</v>
      </c>
      <c r="J37" s="38">
        <f t="shared" ref="J37:J49" si="53">J91*I$83</f>
        <v>3776</v>
      </c>
      <c r="K37" s="40">
        <f t="shared" ref="K37:K49" si="54">(B37/B$65)</f>
        <v>9.4026938717942696E-2</v>
      </c>
      <c r="L37" s="22">
        <f t="shared" ref="L37:L49" si="55">(K37*H37)</f>
        <v>8.8761430149737905E-2</v>
      </c>
      <c r="M37" s="24">
        <f t="shared" ref="M37:M49" si="56">J37/B$65</f>
        <v>8.8761430149737905E-2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0.99592545373150665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3760.6145132901693</v>
      </c>
      <c r="AB37" s="122">
        <f>IF($J37=0,0,AC37/($J37))</f>
        <v>4.0745462684933075E-3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15.38548670983073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3776</v>
      </c>
      <c r="AJ37" s="148">
        <f>(AA37+AC37)</f>
        <v>3776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566.4</v>
      </c>
      <c r="J38" s="38">
        <f t="shared" si="53"/>
        <v>566.4</v>
      </c>
      <c r="K38" s="40">
        <f t="shared" si="54"/>
        <v>1.4104040807691403E-2</v>
      </c>
      <c r="L38" s="22">
        <f t="shared" si="55"/>
        <v>1.3314214522460684E-2</v>
      </c>
      <c r="M38" s="24">
        <f t="shared" si="56"/>
        <v>1.3314214522460684E-2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0.99592545373150654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564.0921769935253</v>
      </c>
      <c r="AB38" s="122">
        <f>IF($J38=0,0,AC38/($J38))</f>
        <v>4.0745462684934281E-3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2.3078230064746776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566.4</v>
      </c>
      <c r="AJ38" s="148">
        <f t="shared" ref="AJ38:AJ64" si="62">(AA38+AC38)</f>
        <v>566.4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235.05599999999998</v>
      </c>
      <c r="J39" s="38">
        <f t="shared" si="53"/>
        <v>235.05599999999998</v>
      </c>
      <c r="K39" s="40">
        <f t="shared" si="54"/>
        <v>5.8531769351919324E-3</v>
      </c>
      <c r="L39" s="22">
        <f t="shared" si="55"/>
        <v>5.5253990268211836E-3</v>
      </c>
      <c r="M39" s="24">
        <f t="shared" si="56"/>
        <v>5.5253990268211836E-3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235.05599999999998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235.05599999999998</v>
      </c>
      <c r="AJ39" s="148">
        <f t="shared" si="62"/>
        <v>235.05599999999998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658</v>
      </c>
      <c r="J41" s="38">
        <f t="shared" si="53"/>
        <v>658</v>
      </c>
      <c r="K41" s="40">
        <f t="shared" si="54"/>
        <v>4.7013469358971344E-3</v>
      </c>
      <c r="L41" s="22">
        <f t="shared" si="55"/>
        <v>6.5818857102559877E-3</v>
      </c>
      <c r="M41" s="24">
        <f t="shared" si="56"/>
        <v>1.5467431419101573E-2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658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658</v>
      </c>
      <c r="AJ41" s="148">
        <f t="shared" si="62"/>
        <v>658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2.1654403986742201E-2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9.8728285653839811E-3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1.8429279988716768E-2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4.4427728544227914E-3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67.199999999999989</v>
      </c>
      <c r="J46" s="38">
        <f t="shared" si="53"/>
        <v>67.2</v>
      </c>
      <c r="K46" s="40">
        <f t="shared" si="54"/>
        <v>1.1283232646153124E-3</v>
      </c>
      <c r="L46" s="22">
        <f t="shared" si="55"/>
        <v>1.5796525704614372E-3</v>
      </c>
      <c r="M46" s="24">
        <f t="shared" si="56"/>
        <v>1.5796525704614372E-3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16.8</v>
      </c>
      <c r="AB46" s="116">
        <v>0.25</v>
      </c>
      <c r="AC46" s="147">
        <f t="shared" si="65"/>
        <v>16.8</v>
      </c>
      <c r="AD46" s="116">
        <v>0.25</v>
      </c>
      <c r="AE46" s="147">
        <f t="shared" si="66"/>
        <v>16.8</v>
      </c>
      <c r="AF46" s="122">
        <f t="shared" si="57"/>
        <v>0.25</v>
      </c>
      <c r="AG46" s="147">
        <f t="shared" si="60"/>
        <v>16.8</v>
      </c>
      <c r="AH46" s="123">
        <f t="shared" si="61"/>
        <v>1</v>
      </c>
      <c r="AI46" s="112">
        <f t="shared" si="61"/>
        <v>67.2</v>
      </c>
      <c r="AJ46" s="148">
        <f t="shared" si="62"/>
        <v>33.6</v>
      </c>
      <c r="AK46" s="147">
        <f t="shared" si="63"/>
        <v>33.6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1.1100000000000001</v>
      </c>
      <c r="G48" s="22">
        <f t="shared" si="59"/>
        <v>1.65</v>
      </c>
      <c r="H48" s="24">
        <f t="shared" si="51"/>
        <v>1.1100000000000001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8">(E50*F50)</f>
        <v>0.94399999999999995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47062.356</v>
      </c>
      <c r="J65" s="39">
        <f>SUM(J37:J64)</f>
        <v>47062.356</v>
      </c>
      <c r="K65" s="40">
        <f>SUM(K37:K64)</f>
        <v>1</v>
      </c>
      <c r="L65" s="22">
        <f>SUM(L37:L64)</f>
        <v>1.1517960555699205</v>
      </c>
      <c r="M65" s="24">
        <f>SUM(M37:M64)</f>
        <v>1.1062823158835007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6045.6876902836939</v>
      </c>
      <c r="AB65" s="137"/>
      <c r="AC65" s="153">
        <f>SUM(AC37:AC64)</f>
        <v>845.61830971630548</v>
      </c>
      <c r="AD65" s="137"/>
      <c r="AE65" s="153">
        <f>SUM(AE37:AE64)</f>
        <v>827.92499999999995</v>
      </c>
      <c r="AF65" s="137"/>
      <c r="AG65" s="153">
        <f>SUM(AG37:AG64)</f>
        <v>827.92499999999995</v>
      </c>
      <c r="AH65" s="137"/>
      <c r="AI65" s="153">
        <f>SUM(AI37:AI64)</f>
        <v>8547.155999999999</v>
      </c>
      <c r="AJ65" s="153">
        <f>SUM(AJ37:AJ64)</f>
        <v>6891.3059999999996</v>
      </c>
      <c r="AK65" s="153">
        <f>SUM(AK37:AK64)</f>
        <v>1655.85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25999.84023527613</v>
      </c>
      <c r="J74" s="51">
        <f t="shared" si="75"/>
        <v>13978.726362685578</v>
      </c>
      <c r="K74" s="40">
        <f>B74/B$76</f>
        <v>0.32129004959921026</v>
      </c>
      <c r="L74" s="22">
        <f t="shared" si="76"/>
        <v>0.32642780212341177</v>
      </c>
      <c r="M74" s="24">
        <f>J74/B$76</f>
        <v>0.32859421176478171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780.05874910272451</v>
      </c>
      <c r="AB74" s="156"/>
      <c r="AC74" s="147">
        <f>AC30*$I$83/4</f>
        <v>-4420.0106314646637</v>
      </c>
      <c r="AD74" s="156"/>
      <c r="AE74" s="147">
        <f>AE30*$I$83/4</f>
        <v>-4437.7039411809692</v>
      </c>
      <c r="AF74" s="156"/>
      <c r="AG74" s="147">
        <f>AG30*$I$83/4</f>
        <v>-4437.7039411809692</v>
      </c>
      <c r="AH74" s="155"/>
      <c r="AI74" s="147">
        <f>SUM(AA74,AC74,AE74,AG74)</f>
        <v>-12515.359764723878</v>
      </c>
      <c r="AJ74" s="148">
        <f>(AA74+AC74)</f>
        <v>-3639.9518823619392</v>
      </c>
      <c r="AK74" s="147">
        <f>(AE74+AG74)</f>
        <v>-8875.4078823619384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47062.356000000007</v>
      </c>
      <c r="J76" s="51">
        <f t="shared" si="75"/>
        <v>47062.356000000007</v>
      </c>
      <c r="K76" s="40">
        <f>SUM(K70:K75)</f>
        <v>1.7404461762611736</v>
      </c>
      <c r="L76" s="22">
        <f>SUM(L70:L75)</f>
        <v>1.207614009109391</v>
      </c>
      <c r="M76" s="24">
        <f>SUM(M70:M75)</f>
        <v>1.209780418750761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6045.6876902836939</v>
      </c>
      <c r="AB76" s="137"/>
      <c r="AC76" s="153">
        <f>AC65</f>
        <v>845.61830971630548</v>
      </c>
      <c r="AD76" s="137"/>
      <c r="AE76" s="153">
        <f>AE65</f>
        <v>827.92499999999995</v>
      </c>
      <c r="AF76" s="137"/>
      <c r="AG76" s="153">
        <f>AG65</f>
        <v>827.92499999999995</v>
      </c>
      <c r="AH76" s="137"/>
      <c r="AI76" s="153">
        <f>SUM(AA76,AC76,AE76,AG76)</f>
        <v>8547.155999999999</v>
      </c>
      <c r="AJ76" s="154">
        <f>SUM(AA76,AC76)</f>
        <v>6891.3059999999996</v>
      </c>
      <c r="AK76" s="154">
        <f>SUM(AE76,AG76)</f>
        <v>1655.85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4402.91279407612</v>
      </c>
      <c r="K77" s="40"/>
      <c r="L77" s="22">
        <f>-(L131*G$37*F$9/F$7)/B$130</f>
        <v>-0.38607523722213077</v>
      </c>
      <c r="M77" s="24">
        <f>-J77/B$76</f>
        <v>-0.10349810286726029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8947.5214029680483</v>
      </c>
      <c r="AD77" s="112"/>
      <c r="AE77" s="111">
        <f>AE31*$I$83/4</f>
        <v>8772.0520705125673</v>
      </c>
      <c r="AF77" s="112"/>
      <c r="AG77" s="111">
        <f>AG31*$I$83/4</f>
        <v>8774.5126539288394</v>
      </c>
      <c r="AH77" s="110"/>
      <c r="AI77" s="154">
        <f>SUM(AA77,AC77,AE77,AG77)</f>
        <v>26494.086127409457</v>
      </c>
      <c r="AJ77" s="153">
        <f>SUM(AA77,AC77)</f>
        <v>8947.5214029680483</v>
      </c>
      <c r="AK77" s="160">
        <f>SUM(AE77,AG77)</f>
        <v>17546.564724441407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780.05874910272451</v>
      </c>
      <c r="AB79" s="112"/>
      <c r="AC79" s="112">
        <f>AA79-AA74+AC65-AC70</f>
        <v>-4420.0106314646637</v>
      </c>
      <c r="AD79" s="112"/>
      <c r="AE79" s="112">
        <f>AC79-AC74+AE65-AE70</f>
        <v>-4437.7039411809692</v>
      </c>
      <c r="AF79" s="112"/>
      <c r="AG79" s="112">
        <f>AE79-AE74+AG65-AG70</f>
        <v>-4437.7039411809692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0.57212121212121214</v>
      </c>
      <c r="I91" s="22">
        <f t="shared" ref="I91" si="82">(D91*H91)</f>
        <v>0.11071707722268645</v>
      </c>
      <c r="J91" s="24">
        <f>IF(I$32&lt;=1+I$131,I91,L91+J$33*(I91-L91))</f>
        <v>0.11071707722268645</v>
      </c>
      <c r="K91" s="22">
        <f t="shared" ref="K91" si="83">IF(B91="",0,B91)</f>
        <v>0.19352031506083966</v>
      </c>
      <c r="L91" s="22">
        <f t="shared" ref="L91" si="84">(K91*H91)</f>
        <v>0.11071707722268645</v>
      </c>
      <c r="M91" s="227">
        <f t="shared" si="80"/>
        <v>0.11071707722268645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0.57212121212121214</v>
      </c>
      <c r="I92" s="22">
        <f t="shared" ref="I92:I118" si="88">(D92*H92)</f>
        <v>1.6607561583402968E-2</v>
      </c>
      <c r="J92" s="24">
        <f t="shared" ref="J92:J118" si="89">IF(I$32&lt;=1+I$131,I92,L92+J$33*(I92-L92))</f>
        <v>1.6607561583402968E-2</v>
      </c>
      <c r="K92" s="22">
        <f t="shared" ref="K92:K118" si="90">IF(B92="",0,B92)</f>
        <v>2.9028047259125948E-2</v>
      </c>
      <c r="L92" s="22">
        <f t="shared" ref="L92:L118" si="91">(K92*H92)</f>
        <v>1.6607561583402968E-2</v>
      </c>
      <c r="M92" s="227">
        <f t="shared" ref="M92:M118" si="92">(J92)</f>
        <v>1.6607561583402968E-2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0.57212121212121214</v>
      </c>
      <c r="I93" s="22">
        <f t="shared" si="88"/>
        <v>6.8921380571122315E-3</v>
      </c>
      <c r="J93" s="24">
        <f t="shared" si="89"/>
        <v>6.8921380571122315E-3</v>
      </c>
      <c r="K93" s="22">
        <f t="shared" si="90"/>
        <v>1.2046639612537269E-2</v>
      </c>
      <c r="L93" s="22">
        <f t="shared" si="91"/>
        <v>6.8921380571122315E-3</v>
      </c>
      <c r="M93" s="227">
        <f t="shared" si="92"/>
        <v>6.8921380571122315E-3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0.84848484848484851</v>
      </c>
      <c r="I95" s="22">
        <f t="shared" si="88"/>
        <v>1.9293388986368561E-2</v>
      </c>
      <c r="J95" s="24">
        <f t="shared" si="89"/>
        <v>1.9293388986368561E-2</v>
      </c>
      <c r="K95" s="22">
        <f t="shared" si="90"/>
        <v>9.6760157530419826E-3</v>
      </c>
      <c r="L95" s="22">
        <f t="shared" si="91"/>
        <v>8.2099527601568346E-3</v>
      </c>
      <c r="M95" s="227">
        <f t="shared" si="92"/>
        <v>1.9293388986368561E-2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2.7010744580915985E-2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1.2314929140235251E-2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2.2987867728439134E-2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5.5417181131058634E-3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0.84848484848484851</v>
      </c>
      <c r="I100" s="22">
        <f t="shared" si="88"/>
        <v>1.9703886624376403E-3</v>
      </c>
      <c r="J100" s="24">
        <f t="shared" si="89"/>
        <v>1.9703886624376403E-3</v>
      </c>
      <c r="K100" s="22">
        <f t="shared" si="90"/>
        <v>2.322243780730076E-3</v>
      </c>
      <c r="L100" s="22">
        <f t="shared" si="91"/>
        <v>1.9703886624376403E-3</v>
      </c>
      <c r="M100" s="227">
        <f t="shared" si="92"/>
        <v>1.9703886624376403E-3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0.67272727272727284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0.67272727272727284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0.57212121212121214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1.3799275697917273</v>
      </c>
      <c r="J119" s="24">
        <f>SUM(J91:J118)</f>
        <v>1.3799275697917273</v>
      </c>
      <c r="K119" s="22">
        <f>SUM(K91:K118)</f>
        <v>2.0581369307507953</v>
      </c>
      <c r="L119" s="22">
        <f>SUM(L91:L118)</f>
        <v>1.4366993931282117</v>
      </c>
      <c r="M119" s="57">
        <f t="shared" si="80"/>
        <v>1.3799275697917273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0.7623480717972928</v>
      </c>
      <c r="J128" s="228">
        <f>(J30)</f>
        <v>0.40987386816002702</v>
      </c>
      <c r="K128" s="29">
        <f>(B128)</f>
        <v>0.66125891656288927</v>
      </c>
      <c r="L128" s="29">
        <f>IF(L124=L119,0,(L119-L124)/(B119-B124)*K128)</f>
        <v>0.40717158471151921</v>
      </c>
      <c r="M128" s="240">
        <f t="shared" si="93"/>
        <v>0.40987386816002702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1.3799275697917273</v>
      </c>
      <c r="J130" s="228">
        <f>(J119)</f>
        <v>1.3799275697917273</v>
      </c>
      <c r="K130" s="29">
        <f>(B130)</f>
        <v>2.0581369307507953</v>
      </c>
      <c r="L130" s="29">
        <f>(L119)</f>
        <v>1.4366993931282117</v>
      </c>
      <c r="M130" s="240">
        <f t="shared" si="93"/>
        <v>1.3799275697917273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0.129098950165911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1.1580084726916918E-2</v>
      </c>
      <c r="J6" s="24">
        <f t="shared" ref="J6:J13" si="3">IF(I$32&lt;=1+I$131,I6,B6*H6+J$33*(I6-B6*H6))</f>
        <v>1.1580084726916918E-2</v>
      </c>
      <c r="K6" s="22">
        <f t="shared" ref="K6:K31" si="4">B6</f>
        <v>2.3160169453833836E-2</v>
      </c>
      <c r="L6" s="22">
        <f t="shared" ref="L6:L29" si="5">IF(K6="","",K6*H6)</f>
        <v>1.1580084726916918E-2</v>
      </c>
      <c r="M6" s="224">
        <f t="shared" ref="M6:M31" si="6">J6</f>
        <v>1.1580084726916918E-2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4.6320338907667673E-2</v>
      </c>
      <c r="Z6" s="156">
        <f>Poor!Z6</f>
        <v>0.17</v>
      </c>
      <c r="AA6" s="121">
        <f>$M6*Z6*4</f>
        <v>7.8744576143035053E-3</v>
      </c>
      <c r="AB6" s="156">
        <f>Poor!AB6</f>
        <v>0.17</v>
      </c>
      <c r="AC6" s="121">
        <f t="shared" ref="AC6:AC29" si="7">$M6*AB6*4</f>
        <v>7.8744576143035053E-3</v>
      </c>
      <c r="AD6" s="156">
        <f>Poor!AD6</f>
        <v>0.33</v>
      </c>
      <c r="AE6" s="121">
        <f t="shared" ref="AE6:AE29" si="8">$M6*AD6*4</f>
        <v>1.5285711839530333E-2</v>
      </c>
      <c r="AF6" s="122">
        <f>1-SUM(Z6,AB6,AD6)</f>
        <v>0.32999999999999996</v>
      </c>
      <c r="AG6" s="121">
        <f>$M6*AF6*4</f>
        <v>1.5285711839530329E-2</v>
      </c>
      <c r="AH6" s="123">
        <f>SUM(Z6,AB6,AD6,AF6)</f>
        <v>1</v>
      </c>
      <c r="AI6" s="184">
        <f>SUM(AA6,AC6,AE6,AG6)/4</f>
        <v>1.1580084726916918E-2</v>
      </c>
      <c r="AJ6" s="120">
        <f>(AA6+AC6)/2</f>
        <v>7.8744576143035053E-3</v>
      </c>
      <c r="AK6" s="119">
        <f>(AE6+AG6)/2</f>
        <v>1.5285711839530331E-2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5.8333333333333336E-3</v>
      </c>
      <c r="J7" s="24">
        <f t="shared" si="3"/>
        <v>5.8333333333333336E-3</v>
      </c>
      <c r="K7" s="22">
        <f t="shared" si="4"/>
        <v>5.8333333333333336E-3</v>
      </c>
      <c r="L7" s="22">
        <f t="shared" si="5"/>
        <v>5.8333333333333336E-3</v>
      </c>
      <c r="M7" s="224">
        <f t="shared" si="6"/>
        <v>5.8333333333333336E-3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2738.1997861893992</v>
      </c>
      <c r="T7" s="222">
        <f>IF($B$81=0,0,(SUMIF($N$6:$N$28,$U7,M$6:M$28)+SUMIF($N$91:$N$118,$U7,M$91:M$118))*$I$83*Poor!$B$81/$B$81)</f>
        <v>2748.9314780304885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2.3333333333333334E-2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2.3333333333333334E-2</v>
      </c>
      <c r="AH7" s="123">
        <f t="shared" ref="AH7:AH30" si="12">SUM(Z7,AB7,AD7,AF7)</f>
        <v>1</v>
      </c>
      <c r="AI7" s="184">
        <f t="shared" ref="AI7:AI30" si="13">SUM(AA7,AC7,AE7,AG7)/4</f>
        <v>5.8333333333333336E-3</v>
      </c>
      <c r="AJ7" s="120">
        <f t="shared" ref="AJ7:AJ31" si="14">(AA7+AC7)/2</f>
        <v>0</v>
      </c>
      <c r="AK7" s="119">
        <f t="shared" ref="AK7:AK31" si="15">(AE7+AG7)/2</f>
        <v>1.1666666666666667E-2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5.4521912471090554E-2</v>
      </c>
      <c r="J8" s="24">
        <f t="shared" si="3"/>
        <v>1.7926764157644607E-2</v>
      </c>
      <c r="K8" s="22">
        <f t="shared" si="4"/>
        <v>1.6222736167941648E-2</v>
      </c>
      <c r="L8" s="22">
        <f t="shared" si="5"/>
        <v>1.7682782423056397E-2</v>
      </c>
      <c r="M8" s="224">
        <f t="shared" si="6"/>
        <v>1.7926764157644607E-2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1474.4</v>
      </c>
      <c r="T8" s="222">
        <f>IF($B$81=0,0,(SUMIF($N$6:$N$28,$U8,M$6:M$28)+SUMIF($N$91:$N$118,$U8,M$91:M$118))*$I$83*Poor!$B$81/$B$81)</f>
        <v>1469.5096534422767</v>
      </c>
      <c r="U8" s="223">
        <v>2</v>
      </c>
      <c r="V8" s="56"/>
      <c r="W8" s="115"/>
      <c r="X8" s="118">
        <f>Poor!X8</f>
        <v>1</v>
      </c>
      <c r="Y8" s="184">
        <f t="shared" si="9"/>
        <v>7.1707056630578428E-2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7.1707056630578428E-2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1.7926764157644607E-2</v>
      </c>
      <c r="AJ8" s="120">
        <f t="shared" si="14"/>
        <v>3.5853528315289214E-2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394.93817056686663</v>
      </c>
      <c r="T9" s="222">
        <f>IF($B$81=0,0,(SUMIF($N$6:$N$28,$U9,M$6:M$28)+SUMIF($N$91:$N$118,$U9,M$91:M$118))*$I$83*Poor!$B$81/$B$81)</f>
        <v>394.93817056686663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1</v>
      </c>
      <c r="H10" s="24">
        <f t="shared" si="1"/>
        <v>1</v>
      </c>
      <c r="I10" s="22">
        <f t="shared" si="2"/>
        <v>1.4518982209571252E-2</v>
      </c>
      <c r="J10" s="24">
        <f t="shared" si="3"/>
        <v>2.2671013447229847E-2</v>
      </c>
      <c r="K10" s="22">
        <f t="shared" si="4"/>
        <v>2.2725363458459352E-2</v>
      </c>
      <c r="L10" s="22">
        <f t="shared" si="5"/>
        <v>2.2725363458459352E-2</v>
      </c>
      <c r="M10" s="224">
        <f t="shared" si="6"/>
        <v>2.2671013447229847E-2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9.0684053788919389E-2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9.0684053788919389E-2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2.2671013447229847E-2</v>
      </c>
      <c r="AJ10" s="120">
        <f t="shared" si="14"/>
        <v>4.5342026894459694E-2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1</v>
      </c>
      <c r="H11" s="24">
        <f t="shared" si="1"/>
        <v>1</v>
      </c>
      <c r="I11" s="22">
        <f t="shared" si="2"/>
        <v>3.2778864970645791E-2</v>
      </c>
      <c r="J11" s="24">
        <f t="shared" si="3"/>
        <v>1.454427155851719E-2</v>
      </c>
      <c r="K11" s="22">
        <f t="shared" si="4"/>
        <v>1.4422700587084147E-2</v>
      </c>
      <c r="L11" s="22">
        <f t="shared" si="5"/>
        <v>1.4422700587084147E-2</v>
      </c>
      <c r="M11" s="224">
        <f t="shared" si="6"/>
        <v>1.454427155851719E-2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9386.0571428571438</v>
      </c>
      <c r="T11" s="222">
        <f>IF($B$81=0,0,(SUMIF($N$6:$N$28,$U11,M$6:M$28)+SUMIF($N$91:$N$118,$U11,M$91:M$118))*$I$83*Poor!$B$81/$B$81)</f>
        <v>9361.7636026750224</v>
      </c>
      <c r="U11" s="223">
        <v>5</v>
      </c>
      <c r="V11" s="56"/>
      <c r="W11" s="115"/>
      <c r="X11" s="118">
        <f>Poor!X11</f>
        <v>1</v>
      </c>
      <c r="Y11" s="184">
        <f t="shared" si="9"/>
        <v>5.817708623406876E-2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5.817708623406876E-2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1.454427155851719E-2</v>
      </c>
      <c r="AJ11" s="120">
        <f t="shared" si="14"/>
        <v>2.908854311703438E-2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1</v>
      </c>
      <c r="H12" s="24">
        <f t="shared" si="1"/>
        <v>1</v>
      </c>
      <c r="I12" s="22">
        <f t="shared" si="2"/>
        <v>6.864881693648817E-3</v>
      </c>
      <c r="J12" s="24">
        <f t="shared" si="3"/>
        <v>6.864881693648817E-3</v>
      </c>
      <c r="K12" s="22">
        <f t="shared" si="4"/>
        <v>6.864881693648817E-3</v>
      </c>
      <c r="L12" s="22">
        <f t="shared" si="5"/>
        <v>6.864881693648817E-3</v>
      </c>
      <c r="M12" s="224">
        <f t="shared" si="6"/>
        <v>6.864881693648817E-3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2.7459526774595268E-2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1.839788293897883E-2</v>
      </c>
      <c r="AF12" s="122">
        <f>1-SUM(Z12,AB12,AD12)</f>
        <v>0.32999999999999996</v>
      </c>
      <c r="AG12" s="121">
        <f>$M12*AF12*4</f>
        <v>9.0616438356164366E-3</v>
      </c>
      <c r="AH12" s="123">
        <f t="shared" si="12"/>
        <v>1</v>
      </c>
      <c r="AI12" s="184">
        <f t="shared" si="13"/>
        <v>6.864881693648817E-3</v>
      </c>
      <c r="AJ12" s="120">
        <f t="shared" si="14"/>
        <v>0</v>
      </c>
      <c r="AK12" s="119">
        <f t="shared" si="15"/>
        <v>1.3729763387297634E-2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1</v>
      </c>
      <c r="H13" s="24">
        <f t="shared" si="1"/>
        <v>1</v>
      </c>
      <c r="I13" s="22">
        <f t="shared" si="2"/>
        <v>7.4533001245330006E-3</v>
      </c>
      <c r="J13" s="24">
        <f t="shared" si="3"/>
        <v>7.4533001245330006E-3</v>
      </c>
      <c r="K13" s="22">
        <f t="shared" si="4"/>
        <v>7.4533001245330006E-3</v>
      </c>
      <c r="L13" s="22">
        <f t="shared" si="5"/>
        <v>7.4533001245330006E-3</v>
      </c>
      <c r="M13" s="225">
        <f t="shared" si="6"/>
        <v>7.4533001245330006E-3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116516.57142857143</v>
      </c>
      <c r="T13" s="222">
        <f>IF($B$81=0,0,(SUMIF($N$6:$N$28,$U13,M$6:M$28)+SUMIF($N$91:$N$118,$U13,M$91:M$118))*$I$83*Poor!$B$81/$B$81)</f>
        <v>116516.57142857143</v>
      </c>
      <c r="U13" s="223">
        <v>7</v>
      </c>
      <c r="V13" s="56"/>
      <c r="W13" s="110"/>
      <c r="X13" s="118"/>
      <c r="Y13" s="184">
        <f t="shared" si="9"/>
        <v>2.9813200498132002E-2</v>
      </c>
      <c r="Z13" s="156">
        <f>Poor!Z13</f>
        <v>1</v>
      </c>
      <c r="AA13" s="121">
        <f>$M13*Z13*4</f>
        <v>2.9813200498132002E-2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7.4533001245330006E-3</v>
      </c>
      <c r="AJ13" s="120">
        <f t="shared" si="14"/>
        <v>1.4906600249066001E-2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1</v>
      </c>
      <c r="F14" s="22"/>
      <c r="H14" s="24">
        <f t="shared" si="1"/>
        <v>1</v>
      </c>
      <c r="I14" s="22">
        <f t="shared" si="2"/>
        <v>4.3935242839352427E-3</v>
      </c>
      <c r="J14" s="24">
        <f>IF(I$32&lt;=1+I131,I14,B14*H14+J$33*(I14-B14*H14))</f>
        <v>3.8739497090984711E-3</v>
      </c>
      <c r="K14" s="22">
        <f t="shared" si="4"/>
        <v>3.8704856787048565E-3</v>
      </c>
      <c r="L14" s="22">
        <f t="shared" si="5"/>
        <v>3.8704856787048565E-3</v>
      </c>
      <c r="M14" s="225">
        <f t="shared" si="6"/>
        <v>3.8739497090984711E-3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1.5495798836393885E-2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1.5495798836393885E-2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3.8739497090984711E-3</v>
      </c>
      <c r="AJ14" s="120">
        <f t="shared" si="14"/>
        <v>7.7478994181969423E-3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1</v>
      </c>
      <c r="F16" s="22"/>
      <c r="H16" s="24">
        <f t="shared" si="1"/>
        <v>1</v>
      </c>
      <c r="I16" s="22">
        <f t="shared" si="2"/>
        <v>1.4346201743462017E-3</v>
      </c>
      <c r="J16" s="24">
        <f>IF(I$32&lt;=1+I131,I16,B16*H16+J$33*(I16-B16*H16))</f>
        <v>1.4346201743462017E-3</v>
      </c>
      <c r="K16" s="22">
        <f t="shared" si="4"/>
        <v>1.4346201743462017E-3</v>
      </c>
      <c r="L16" s="22">
        <f t="shared" si="5"/>
        <v>1.4346201743462017E-3</v>
      </c>
      <c r="M16" s="224">
        <f t="shared" si="6"/>
        <v>1.4346201743462017E-3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5.7384806973848068E-3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5.7384806973848068E-3</v>
      </c>
      <c r="AH16" s="123">
        <f t="shared" si="12"/>
        <v>1</v>
      </c>
      <c r="AI16" s="184">
        <f t="shared" si="13"/>
        <v>1.4346201743462017E-3</v>
      </c>
      <c r="AJ16" s="120">
        <f t="shared" si="14"/>
        <v>0</v>
      </c>
      <c r="AK16" s="119">
        <f t="shared" si="15"/>
        <v>2.8692403486924034E-3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151622.5675306179</v>
      </c>
      <c r="T23" s="179">
        <f>SUM(T7:T22)</f>
        <v>151604.11533571917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4.2952159141917974E-2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4.2952159141917974E-2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0.1718086365676719</v>
      </c>
      <c r="Z27" s="156">
        <f>Poor!Z27</f>
        <v>0.25</v>
      </c>
      <c r="AA27" s="121">
        <f t="shared" si="16"/>
        <v>4.2952159141917974E-2</v>
      </c>
      <c r="AB27" s="156">
        <f>Poor!AB27</f>
        <v>0.25</v>
      </c>
      <c r="AC27" s="121">
        <f t="shared" si="7"/>
        <v>4.2952159141917974E-2</v>
      </c>
      <c r="AD27" s="156">
        <f>Poor!AD27</f>
        <v>0.25</v>
      </c>
      <c r="AE27" s="121">
        <f t="shared" si="8"/>
        <v>4.2952159141917974E-2</v>
      </c>
      <c r="AF27" s="122">
        <f t="shared" si="10"/>
        <v>0.25</v>
      </c>
      <c r="AG27" s="121">
        <f t="shared" si="11"/>
        <v>4.2952159141917974E-2</v>
      </c>
      <c r="AH27" s="123">
        <f t="shared" si="12"/>
        <v>1</v>
      </c>
      <c r="AI27" s="184">
        <f t="shared" si="13"/>
        <v>4.2952159141917974E-2</v>
      </c>
      <c r="AJ27" s="120">
        <f t="shared" si="14"/>
        <v>4.2952159141917974E-2</v>
      </c>
      <c r="AK27" s="119">
        <f t="shared" si="15"/>
        <v>4.2952159141917974E-2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0.28181209269195701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0.28181209269195701</v>
      </c>
      <c r="N29" s="229"/>
      <c r="P29" s="22"/>
      <c r="V29" s="56"/>
      <c r="W29" s="110"/>
      <c r="X29" s="118"/>
      <c r="Y29" s="184">
        <f t="shared" si="9"/>
        <v>1.127248370767828</v>
      </c>
      <c r="Z29" s="156">
        <f>Poor!Z29</f>
        <v>0.25</v>
      </c>
      <c r="AA29" s="121">
        <f t="shared" si="16"/>
        <v>0.28181209269195701</v>
      </c>
      <c r="AB29" s="156">
        <f>Poor!AB29</f>
        <v>0.25</v>
      </c>
      <c r="AC29" s="121">
        <f t="shared" si="7"/>
        <v>0.28181209269195701</v>
      </c>
      <c r="AD29" s="156">
        <f>Poor!AD29</f>
        <v>0.25</v>
      </c>
      <c r="AE29" s="121">
        <f t="shared" si="8"/>
        <v>0.28181209269195701</v>
      </c>
      <c r="AF29" s="122">
        <f t="shared" si="10"/>
        <v>0.25</v>
      </c>
      <c r="AG29" s="121">
        <f t="shared" si="11"/>
        <v>0.28181209269195701</v>
      </c>
      <c r="AH29" s="123">
        <f t="shared" si="12"/>
        <v>1</v>
      </c>
      <c r="AI29" s="184">
        <f t="shared" si="13"/>
        <v>0.28181209269195701</v>
      </c>
      <c r="AJ29" s="120">
        <f t="shared" si="14"/>
        <v>0.28181209269195701</v>
      </c>
      <c r="AK29" s="119">
        <f t="shared" si="15"/>
        <v>0.28181209269195701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3.4542119179273154</v>
      </c>
      <c r="J30" s="231">
        <f>IF(I$32&lt;=1,I30,1-SUM(J6:J29))</f>
        <v>0.43015234494343302</v>
      </c>
      <c r="K30" s="22">
        <f t="shared" si="4"/>
        <v>0.7395463412204234</v>
      </c>
      <c r="L30" s="22">
        <f>IF(L124=L119,0,IF(K30="",0,(L119-L124)/(B119-B124)*K30))</f>
        <v>0.41079287041556295</v>
      </c>
      <c r="M30" s="175">
        <f t="shared" si="6"/>
        <v>0.43015234494343302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1.7206093797737321</v>
      </c>
      <c r="Z30" s="122">
        <f>IF($Y30=0,0,AA30/($Y$30))</f>
        <v>0.15347975676932954</v>
      </c>
      <c r="AA30" s="188">
        <f>IF(AA79*4/$I$84+SUM(AA6:AA29)&lt;1,AA79*4/$I$84,1-SUM(AA6:AA29))</f>
        <v>0.26407870910269937</v>
      </c>
      <c r="AB30" s="122">
        <f>IF($Y30=0,0,AC30/($Y$30))</f>
        <v>0.28999278586033295</v>
      </c>
      <c r="AC30" s="188">
        <f>IF(AC79*4/$I$84+SUM(AC6:AC29)&lt;1,AC79*4/$I$84,1-SUM(AC6:AC29))</f>
        <v>0.49896430741800413</v>
      </c>
      <c r="AD30" s="122">
        <f>IF($Y30=0,0,AE30/($Y$30))</f>
        <v>0.28399878254438676</v>
      </c>
      <c r="AE30" s="188">
        <f>IF(AE79*4/$I$84+SUM(AE6:AE29)&lt;1,AE79*4/$I$84,1-SUM(AE6:AE29))</f>
        <v>0.48865096909019234</v>
      </c>
      <c r="AF30" s="122">
        <f>IF($Y30=0,0,AG30/($Y$30))</f>
        <v>0.27252867482595095</v>
      </c>
      <c r="AG30" s="188">
        <f>IF(AG79*4/$I$84+SUM(AG6:AG29)&lt;1,AG79*4/$I$84,1-SUM(AG6:AG29))</f>
        <v>0.46891539416283656</v>
      </c>
      <c r="AH30" s="123">
        <f t="shared" si="12"/>
        <v>1.0000000000000002</v>
      </c>
      <c r="AI30" s="184">
        <f t="shared" si="13"/>
        <v>0.43015234494343313</v>
      </c>
      <c r="AJ30" s="120">
        <f t="shared" si="14"/>
        <v>0.38152150826035175</v>
      </c>
      <c r="AK30" s="119">
        <f t="shared" si="15"/>
        <v>0.47878318162651445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1.9008804842845839E-2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3.971462155582314</v>
      </c>
      <c r="J32" s="17"/>
      <c r="L32" s="22">
        <f>SUM(L6:L30)</f>
        <v>0.98099119515715416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6.6228962049344319E-3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3776</v>
      </c>
      <c r="J37" s="38">
        <f>J91*I$83</f>
        <v>7526.9919439301684</v>
      </c>
      <c r="K37" s="40">
        <f>(B37/B$65)</f>
        <v>6.1614294516327786E-2</v>
      </c>
      <c r="L37" s="22">
        <f t="shared" ref="L37" si="28">(K37*H37)</f>
        <v>5.8163894023413425E-2</v>
      </c>
      <c r="M37" s="24">
        <f>J37/B$65</f>
        <v>5.7971287306917502E-2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7526.9919439301684</v>
      </c>
      <c r="AH37" s="123">
        <f>SUM(Z37,AB37,AD37,AF37)</f>
        <v>1</v>
      </c>
      <c r="AI37" s="112">
        <f>SUM(AA37,AC37,AE37,AG37)</f>
        <v>7526.9919439301684</v>
      </c>
      <c r="AJ37" s="148">
        <f>(AA37+AC37)</f>
        <v>0</v>
      </c>
      <c r="AK37" s="147">
        <f>(AE37+AG37)</f>
        <v>7526.9919439301684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1132.8</v>
      </c>
      <c r="J38" s="38">
        <f t="shared" ref="J38:J64" si="32">J92*I$83</f>
        <v>570.15120841047485</v>
      </c>
      <c r="K38" s="40">
        <f t="shared" ref="K38:K64" si="33">(B38/B$65)</f>
        <v>4.6210720887245845E-3</v>
      </c>
      <c r="L38" s="22">
        <f t="shared" ref="L38:L64" si="34">(K38*H38)</f>
        <v>4.3622920517560077E-3</v>
      </c>
      <c r="M38" s="24">
        <f t="shared" ref="M38:M64" si="35">J38/B$65</f>
        <v>4.3911830592303974E-3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570.15120841047485</v>
      </c>
      <c r="AH38" s="123">
        <f t="shared" ref="AH38:AI58" si="37">SUM(Z38,AB38,AD38,AF38)</f>
        <v>1</v>
      </c>
      <c r="AI38" s="112">
        <f t="shared" si="37"/>
        <v>570.15120841047485</v>
      </c>
      <c r="AJ38" s="148">
        <f t="shared" ref="AJ38:AJ64" si="38">(AA38+AC38)</f>
        <v>0</v>
      </c>
      <c r="AK38" s="147">
        <f t="shared" ref="AK38:AK64" si="39">(AE38+AG38)</f>
        <v>570.15120841047485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94.399999999999991</v>
      </c>
      <c r="J39" s="38">
        <f t="shared" si="32"/>
        <v>94.399999999999991</v>
      </c>
      <c r="K39" s="40">
        <f t="shared" si="33"/>
        <v>7.701786814540973E-4</v>
      </c>
      <c r="L39" s="22">
        <f t="shared" si="34"/>
        <v>7.2704867529266781E-4</v>
      </c>
      <c r="M39" s="24">
        <f t="shared" si="35"/>
        <v>7.2704867529266781E-4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94.399999999999991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94.399999999999991</v>
      </c>
      <c r="AJ39" s="148">
        <f t="shared" si="38"/>
        <v>94.399999999999991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530.56271113694459</v>
      </c>
      <c r="K40" s="40">
        <f t="shared" si="33"/>
        <v>2.6956253850893407E-3</v>
      </c>
      <c r="L40" s="22">
        <f t="shared" si="34"/>
        <v>4.113524337646334E-3</v>
      </c>
      <c r="M40" s="24">
        <f t="shared" si="35"/>
        <v>4.086280892921631E-3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530.56271113694459</v>
      </c>
      <c r="AH40" s="123">
        <f t="shared" si="37"/>
        <v>1</v>
      </c>
      <c r="AI40" s="112">
        <f t="shared" si="37"/>
        <v>530.56271113694459</v>
      </c>
      <c r="AJ40" s="148">
        <f t="shared" si="38"/>
        <v>0</v>
      </c>
      <c r="AK40" s="147">
        <f t="shared" si="39"/>
        <v>530.56271113694459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644</v>
      </c>
      <c r="J41" s="38">
        <f t="shared" si="32"/>
        <v>282.41073421859608</v>
      </c>
      <c r="K41" s="40">
        <f t="shared" si="33"/>
        <v>1.5403573629081946E-3</v>
      </c>
      <c r="L41" s="22">
        <f t="shared" si="34"/>
        <v>2.1565003080714724E-3</v>
      </c>
      <c r="M41" s="24">
        <f t="shared" si="35"/>
        <v>2.1750672690896188E-3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282.41073421859608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282.41073421859608</v>
      </c>
      <c r="AJ41" s="148">
        <f t="shared" si="38"/>
        <v>282.41073421859608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389.40382468766575</v>
      </c>
      <c r="K42" s="40">
        <f t="shared" si="33"/>
        <v>2.1565003080714724E-3</v>
      </c>
      <c r="L42" s="22">
        <f t="shared" si="34"/>
        <v>3.019100431300061E-3</v>
      </c>
      <c r="M42" s="24">
        <f t="shared" si="35"/>
        <v>2.999105242511289E-3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97.350956171916437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194.70191234383287</v>
      </c>
      <c r="AF42" s="122">
        <f t="shared" si="29"/>
        <v>0.25</v>
      </c>
      <c r="AG42" s="147">
        <f t="shared" si="36"/>
        <v>97.350956171916437</v>
      </c>
      <c r="AH42" s="123">
        <f t="shared" si="37"/>
        <v>1</v>
      </c>
      <c r="AI42" s="112">
        <f t="shared" si="37"/>
        <v>389.40382468766575</v>
      </c>
      <c r="AJ42" s="148">
        <f t="shared" si="38"/>
        <v>97.350956171916437</v>
      </c>
      <c r="AK42" s="147">
        <f t="shared" si="39"/>
        <v>292.05286851574931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83.443676718785497</v>
      </c>
      <c r="K45" s="40">
        <f t="shared" si="33"/>
        <v>4.621072088724584E-4</v>
      </c>
      <c r="L45" s="22">
        <f t="shared" si="34"/>
        <v>6.4695009242144168E-4</v>
      </c>
      <c r="M45" s="24">
        <f t="shared" si="35"/>
        <v>6.4266540910956171E-4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20.860919179696374</v>
      </c>
      <c r="AB45" s="156">
        <f>Poor!AB45</f>
        <v>0.25</v>
      </c>
      <c r="AC45" s="147">
        <f t="shared" si="41"/>
        <v>20.860919179696374</v>
      </c>
      <c r="AD45" s="156">
        <f>Poor!AD45</f>
        <v>0.25</v>
      </c>
      <c r="AE45" s="147">
        <f t="shared" si="42"/>
        <v>20.860919179696374</v>
      </c>
      <c r="AF45" s="122">
        <f t="shared" si="29"/>
        <v>0.25</v>
      </c>
      <c r="AG45" s="147">
        <f t="shared" si="36"/>
        <v>20.860919179696374</v>
      </c>
      <c r="AH45" s="123">
        <f t="shared" si="37"/>
        <v>1</v>
      </c>
      <c r="AI45" s="112">
        <f t="shared" si="37"/>
        <v>83.443676718785497</v>
      </c>
      <c r="AJ45" s="148">
        <f t="shared" si="38"/>
        <v>41.721838359392748</v>
      </c>
      <c r="AK45" s="147">
        <f t="shared" si="39"/>
        <v>41.721838359392748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1.1100000000000001</v>
      </c>
      <c r="G48" s="75">
        <f>Poor!G48</f>
        <v>1.65</v>
      </c>
      <c r="H48" s="24">
        <f t="shared" si="30"/>
        <v>1.1100000000000001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101952</v>
      </c>
      <c r="J50" s="38">
        <f t="shared" si="32"/>
        <v>101952</v>
      </c>
      <c r="K50" s="40">
        <f t="shared" si="33"/>
        <v>0.83179297597042512</v>
      </c>
      <c r="L50" s="22">
        <f t="shared" si="34"/>
        <v>0.7852125693160813</v>
      </c>
      <c r="M50" s="24">
        <f t="shared" si="35"/>
        <v>0.7852125693160813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25488</v>
      </c>
      <c r="AB50" s="156">
        <f>Poor!AB55</f>
        <v>0.25</v>
      </c>
      <c r="AC50" s="147">
        <f t="shared" si="41"/>
        <v>25488</v>
      </c>
      <c r="AD50" s="156">
        <f>Poor!AD55</f>
        <v>0.25</v>
      </c>
      <c r="AE50" s="147">
        <f t="shared" si="42"/>
        <v>25488</v>
      </c>
      <c r="AF50" s="122">
        <f t="shared" si="29"/>
        <v>0.25</v>
      </c>
      <c r="AG50" s="147">
        <f t="shared" si="36"/>
        <v>25488</v>
      </c>
      <c r="AH50" s="123">
        <f t="shared" si="37"/>
        <v>1</v>
      </c>
      <c r="AI50" s="112">
        <f t="shared" si="37"/>
        <v>101952</v>
      </c>
      <c r="AJ50" s="148">
        <f t="shared" si="38"/>
        <v>50976</v>
      </c>
      <c r="AK50" s="147">
        <f t="shared" si="39"/>
        <v>50976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121509.7</v>
      </c>
      <c r="J65" s="39">
        <f>SUM(J37:J64)</f>
        <v>125339.86409910263</v>
      </c>
      <c r="K65" s="40">
        <f>SUM(K37:K64)</f>
        <v>1.0000000000000002</v>
      </c>
      <c r="L65" s="22">
        <f>SUM(L37:L64)</f>
        <v>0.9655375847196549</v>
      </c>
      <c r="M65" s="24">
        <f>SUM(M37:M64)</f>
        <v>0.96534091265482624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28461.022609570209</v>
      </c>
      <c r="AB65" s="137"/>
      <c r="AC65" s="153">
        <f>SUM(AC37:AC64)</f>
        <v>27986.860919179697</v>
      </c>
      <c r="AD65" s="137"/>
      <c r="AE65" s="153">
        <f>SUM(AE37:AE64)</f>
        <v>28181.56283152353</v>
      </c>
      <c r="AF65" s="137"/>
      <c r="AG65" s="153">
        <f>SUM(AG37:AG64)</f>
        <v>36711.917738829201</v>
      </c>
      <c r="AH65" s="137"/>
      <c r="AI65" s="153">
        <f>SUM(AI37:AI64)</f>
        <v>121341.36409910263</v>
      </c>
      <c r="AJ65" s="153">
        <f>SUM(AJ37:AJ64)</f>
        <v>56447.883528749902</v>
      </c>
      <c r="AK65" s="153">
        <f>SUM(AK37:AK64)</f>
        <v>64893.480570352731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103079.99870586659</v>
      </c>
      <c r="J74" s="51">
        <f t="shared" si="44"/>
        <v>12836.532388175141</v>
      </c>
      <c r="K74" s="40">
        <f>B74/B$76</f>
        <v>0.10301450213208779</v>
      </c>
      <c r="L74" s="22">
        <f t="shared" si="45"/>
        <v>9.4414743336395004E-2</v>
      </c>
      <c r="M74" s="24">
        <f>J74/B$76</f>
        <v>9.886423589167545E-2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2743.647522211973</v>
      </c>
      <c r="AB74" s="156"/>
      <c r="AC74" s="147">
        <f>AC30*$I$84/4</f>
        <v>5183.9930237890831</v>
      </c>
      <c r="AD74" s="156"/>
      <c r="AE74" s="147">
        <f>AE30*$I$84/4</f>
        <v>5076.8425259508404</v>
      </c>
      <c r="AF74" s="156"/>
      <c r="AG74" s="147">
        <f>AG30*$I$84/4</f>
        <v>4871.7996376663077</v>
      </c>
      <c r="AH74" s="155"/>
      <c r="AI74" s="147">
        <f>SUM(AA74,AC74,AE74,AG74)</f>
        <v>17876.282709618205</v>
      </c>
      <c r="AJ74" s="148">
        <f>(AA74+AC74)</f>
        <v>7927.6405460010556</v>
      </c>
      <c r="AK74" s="147">
        <f>(AE74+AG74)</f>
        <v>9948.6421636171472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47466.777083460744</v>
      </c>
      <c r="K75" s="40">
        <f>B75/B$76</f>
        <v>0.49139857791808356</v>
      </c>
      <c r="L75" s="22">
        <f t="shared" si="45"/>
        <v>0.37022516249026283</v>
      </c>
      <c r="M75" s="24">
        <f>J75/B$76</f>
        <v>0.36557899787015358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21109.949763824887</v>
      </c>
      <c r="AB75" s="158"/>
      <c r="AC75" s="149">
        <f>AA75+AC65-SUM(AC70,AC74)</f>
        <v>39305.392335682154</v>
      </c>
      <c r="AD75" s="158"/>
      <c r="AE75" s="149">
        <f>AC75+AE65-SUM(AE70,AE74)</f>
        <v>57802.687317721495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85035.380095351036</v>
      </c>
      <c r="AJ75" s="151">
        <f>AJ76-SUM(AJ70,AJ74)</f>
        <v>39305.392335682154</v>
      </c>
      <c r="AK75" s="149">
        <f>AJ75+AK76-SUM(AK70,AK74)</f>
        <v>85035.380095351036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121509.69999999998</v>
      </c>
      <c r="J76" s="51">
        <f t="shared" si="44"/>
        <v>125339.86409910262</v>
      </c>
      <c r="K76" s="40">
        <f>SUM(K70:K75)</f>
        <v>1</v>
      </c>
      <c r="L76" s="22">
        <f>SUM(L70:L75)</f>
        <v>0.96553758471965478</v>
      </c>
      <c r="M76" s="24">
        <f>SUM(M70:M75)</f>
        <v>0.96534091265482602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28461.022609570209</v>
      </c>
      <c r="AB76" s="137"/>
      <c r="AC76" s="153">
        <f>AC65</f>
        <v>27986.860919179697</v>
      </c>
      <c r="AD76" s="137"/>
      <c r="AE76" s="153">
        <f>AE65</f>
        <v>28181.56283152353</v>
      </c>
      <c r="AF76" s="137"/>
      <c r="AG76" s="153">
        <f>AG65</f>
        <v>36711.917738829201</v>
      </c>
      <c r="AH76" s="137"/>
      <c r="AI76" s="153">
        <f>SUM(AA76,AC76,AE76,AG76)</f>
        <v>121341.36409910263</v>
      </c>
      <c r="AJ76" s="154">
        <f>SUM(AA76,AC76)</f>
        <v>56447.88352874991</v>
      </c>
      <c r="AK76" s="154">
        <f>SUM(AE76,AG76)</f>
        <v>64893.480570352731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14371.023333333356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21109.949763824887</v>
      </c>
      <c r="AD78" s="112"/>
      <c r="AE78" s="112">
        <f>AC75</f>
        <v>39305.392335682154</v>
      </c>
      <c r="AF78" s="112"/>
      <c r="AG78" s="112">
        <f>AE75</f>
        <v>57802.687317721495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23853.59728603686</v>
      </c>
      <c r="AB79" s="112"/>
      <c r="AC79" s="112">
        <f>AA79-AA74+AC65-AC70</f>
        <v>44489.385359471242</v>
      </c>
      <c r="AD79" s="112"/>
      <c r="AE79" s="112">
        <f>AC79-AC74+AE65-AE70</f>
        <v>62879.529843672339</v>
      </c>
      <c r="AF79" s="112"/>
      <c r="AG79" s="112">
        <f>AE79-AE74+AG65-AG70</f>
        <v>89907.179733017358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0.57212121212121214</v>
      </c>
      <c r="I91" s="22">
        <f t="shared" ref="I91" si="52">(D91*H91)</f>
        <v>0.1265338025402131</v>
      </c>
      <c r="J91" s="24">
        <f>IF(I$32&lt;=1+I$131,I91,L91+J$33*(I91-L91))</f>
        <v>0.25222958483978669</v>
      </c>
      <c r="K91" s="22">
        <f t="shared" ref="K91" si="53">(B91)</f>
        <v>0.44233214871049065</v>
      </c>
      <c r="L91" s="22">
        <f t="shared" ref="L91" si="54">(K91*H91)</f>
        <v>0.25306760508042619</v>
      </c>
      <c r="M91" s="227">
        <f t="shared" si="49"/>
        <v>0.25222958483978669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0.57212121212121214</v>
      </c>
      <c r="I92" s="22">
        <f t="shared" ref="I92:I118" si="58">(D92*H92)</f>
        <v>3.7960140762063922E-2</v>
      </c>
      <c r="J92" s="24">
        <f t="shared" ref="J92:J118" si="59">IF(I$32&lt;=1+I$131,I92,L92+J$33*(I92-L92))</f>
        <v>1.9105773417127887E-2</v>
      </c>
      <c r="K92" s="22">
        <f t="shared" ref="K92:K118" si="60">(B92)</f>
        <v>3.3174911153286794E-2</v>
      </c>
      <c r="L92" s="22">
        <f t="shared" ref="L92:L118" si="61">(K92*H92)</f>
        <v>1.8980070381031961E-2</v>
      </c>
      <c r="M92" s="227">
        <f t="shared" ref="M92:M118" si="62">(J92)</f>
        <v>1.9105773417127887E-2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0.57212121212121214</v>
      </c>
      <c r="I93" s="22">
        <f t="shared" si="58"/>
        <v>3.1633450635053266E-3</v>
      </c>
      <c r="J93" s="24">
        <f t="shared" si="59"/>
        <v>3.1633450635053266E-3</v>
      </c>
      <c r="K93" s="22">
        <f t="shared" si="60"/>
        <v>5.5291518588811324E-3</v>
      </c>
      <c r="L93" s="22">
        <f t="shared" si="61"/>
        <v>3.1633450635053266E-3</v>
      </c>
      <c r="M93" s="227">
        <f t="shared" si="62"/>
        <v>3.1633450635053266E-3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1.7779162427490003E-2</v>
      </c>
      <c r="K94" s="22">
        <f t="shared" si="60"/>
        <v>1.9352031506083965E-2</v>
      </c>
      <c r="L94" s="22">
        <f t="shared" si="61"/>
        <v>1.78976970171419E-2</v>
      </c>
      <c r="M94" s="227">
        <f t="shared" si="62"/>
        <v>1.7779162427490003E-2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0.84848484848484851</v>
      </c>
      <c r="I95" s="22">
        <f t="shared" si="58"/>
        <v>2.1580447255269392E-2</v>
      </c>
      <c r="J95" s="24">
        <f t="shared" si="59"/>
        <v>9.4635868852893101E-3</v>
      </c>
      <c r="K95" s="22">
        <f t="shared" si="60"/>
        <v>1.1058303717762265E-2</v>
      </c>
      <c r="L95" s="22">
        <f t="shared" si="61"/>
        <v>9.3828031544649516E-3</v>
      </c>
      <c r="M95" s="227">
        <f t="shared" si="62"/>
        <v>9.4635868852893101E-3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1.3048926552286242E-2</v>
      </c>
      <c r="K96" s="22">
        <f t="shared" si="60"/>
        <v>1.5481625204867172E-2</v>
      </c>
      <c r="L96" s="22">
        <f t="shared" si="61"/>
        <v>1.3135924416250935E-2</v>
      </c>
      <c r="M96" s="227">
        <f t="shared" si="62"/>
        <v>1.3048926552286242E-2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2.7961985469184799E-3</v>
      </c>
      <c r="K99" s="22">
        <f t="shared" si="60"/>
        <v>3.3174911153286799E-3</v>
      </c>
      <c r="L99" s="22">
        <f t="shared" si="61"/>
        <v>2.8148409463394858E-3</v>
      </c>
      <c r="M99" s="227">
        <f t="shared" si="62"/>
        <v>2.7961985469184799E-3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0.67272727272727284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0.67272727272727284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0.57212121212121214</v>
      </c>
      <c r="I104" s="22">
        <f t="shared" si="58"/>
        <v>3.4164126685857532</v>
      </c>
      <c r="J104" s="24">
        <f t="shared" si="59"/>
        <v>3.4164126685857532</v>
      </c>
      <c r="K104" s="22">
        <f t="shared" si="60"/>
        <v>5.9714840075916236</v>
      </c>
      <c r="L104" s="22">
        <f t="shared" si="61"/>
        <v>3.4164126685857532</v>
      </c>
      <c r="M104" s="227">
        <f t="shared" si="62"/>
        <v>3.4164126685857532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4.0717914159217496</v>
      </c>
      <c r="J119" s="24">
        <f>SUM(J91:J118)</f>
        <v>4.2001402580331018</v>
      </c>
      <c r="K119" s="22">
        <f>SUM(K91:K118)</f>
        <v>7.1790507735712632</v>
      </c>
      <c r="L119" s="22">
        <f>SUM(L91:L118)</f>
        <v>4.2009959663598586</v>
      </c>
      <c r="M119" s="57">
        <f t="shared" si="49"/>
        <v>4.2001402580331018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3.4542119179273154</v>
      </c>
      <c r="J128" s="228">
        <f>(J30)</f>
        <v>0.43015234494343302</v>
      </c>
      <c r="K128" s="22">
        <f>(B128)</f>
        <v>0.7395463412204234</v>
      </c>
      <c r="L128" s="22">
        <f>IF(L124=L119,0,(L119-L124)/(B119-B124)*K128)</f>
        <v>0.41079287041556295</v>
      </c>
      <c r="M128" s="57">
        <f t="shared" si="63"/>
        <v>0.43015234494343302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1.5906122348249294</v>
      </c>
      <c r="K129" s="29">
        <f>(B129)</f>
        <v>3.5277753409346362</v>
      </c>
      <c r="L129" s="60">
        <f>IF(SUM(L124:L128)&gt;L130,0,L130-SUM(L124:L128))</f>
        <v>1.6108274176795563</v>
      </c>
      <c r="M129" s="57">
        <f t="shared" si="63"/>
        <v>1.5906122348249294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4.0717914159217496</v>
      </c>
      <c r="J130" s="228">
        <f>(J119)</f>
        <v>4.2001402580331018</v>
      </c>
      <c r="K130" s="22">
        <f>(B130)</f>
        <v>7.1790507735712632</v>
      </c>
      <c r="L130" s="22">
        <f>(L119)</f>
        <v>4.2009959663598586</v>
      </c>
      <c r="M130" s="57">
        <f t="shared" si="63"/>
        <v>4.2001402580331018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4.2892866594022416E-2</v>
      </c>
      <c r="J6" s="24">
        <f t="shared" ref="J6:J13" si="3">IF(I$32&lt;=1+I$131,I6,B6*H6+J$33*(I6-B6*H6))</f>
        <v>4.2892866594022416E-2</v>
      </c>
      <c r="K6" s="22">
        <f t="shared" ref="K6:K31" si="4">B6</f>
        <v>8.5785733188044833E-2</v>
      </c>
      <c r="L6" s="22">
        <f t="shared" ref="L6:L29" si="5">IF(K6="","",K6*H6)</f>
        <v>4.2892866594022416E-2</v>
      </c>
      <c r="M6" s="177">
        <f t="shared" ref="M6:M31" si="6">J6</f>
        <v>4.2892866594022416E-2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0.17157146637608967</v>
      </c>
      <c r="Z6" s="156">
        <f>Poor!Z6</f>
        <v>0.17</v>
      </c>
      <c r="AA6" s="121">
        <f>$M6*Z6*4</f>
        <v>2.9167149283935247E-2</v>
      </c>
      <c r="AB6" s="156">
        <f>Poor!AB6</f>
        <v>0.17</v>
      </c>
      <c r="AC6" s="121">
        <f t="shared" ref="AC6:AC29" si="7">$M6*AB6*4</f>
        <v>2.9167149283935247E-2</v>
      </c>
      <c r="AD6" s="156">
        <f>Poor!AD6</f>
        <v>0.33</v>
      </c>
      <c r="AE6" s="121">
        <f t="shared" ref="AE6:AE29" si="8">$M6*AD6*4</f>
        <v>5.6618583904109593E-2</v>
      </c>
      <c r="AF6" s="122">
        <f>1-SUM(Z6,AB6,AD6)</f>
        <v>0.32999999999999996</v>
      </c>
      <c r="AG6" s="121">
        <f>$M6*AF6*4</f>
        <v>5.6618583904109586E-2</v>
      </c>
      <c r="AH6" s="123">
        <f>SUM(Z6,AB6,AD6,AF6)</f>
        <v>1</v>
      </c>
      <c r="AI6" s="184">
        <f>SUM(AA6,AC6,AE6,AG6)/4</f>
        <v>4.2892866594022416E-2</v>
      </c>
      <c r="AJ6" s="120">
        <f>(AA6+AC6)/2</f>
        <v>2.9167149283935247E-2</v>
      </c>
      <c r="AK6" s="119">
        <f>(AE6+AG6)/2</f>
        <v>5.6618583904109593E-2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4.9999999999999992E-3</v>
      </c>
      <c r="J7" s="24">
        <f t="shared" si="3"/>
        <v>4.9999999999999992E-3</v>
      </c>
      <c r="K7" s="22">
        <f t="shared" si="4"/>
        <v>4.9999999999999992E-3</v>
      </c>
      <c r="L7" s="22">
        <f t="shared" si="5"/>
        <v>4.9999999999999992E-3</v>
      </c>
      <c r="M7" s="177">
        <f t="shared" si="6"/>
        <v>4.9999999999999992E-3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2367.3682938050297</v>
      </c>
      <c r="T7" s="222">
        <f>IF($B$81=0,0,(SUMIF($N$6:$N$28,$U7,M$6:M$28)+SUMIF($N$91:$N$118,$U7,M$91:M$118))*$I$83*Poor!$B$81/$B$81)</f>
        <v>2361.2870326695383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1.9999999999999997E-2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1.9999999999999997E-2</v>
      </c>
      <c r="AH7" s="123">
        <f t="shared" ref="AH7:AH30" si="12">SUM(Z7,AB7,AD7,AF7)</f>
        <v>1</v>
      </c>
      <c r="AI7" s="184">
        <f t="shared" ref="AI7:AI30" si="13">SUM(AA7,AC7,AE7,AG7)/4</f>
        <v>4.9999999999999992E-3</v>
      </c>
      <c r="AJ7" s="120">
        <f t="shared" ref="AJ7:AJ31" si="14">(AA7+AC7)/2</f>
        <v>0</v>
      </c>
      <c r="AK7" s="119">
        <f t="shared" ref="AK7:AK31" si="15">(AE7+AG7)/2</f>
        <v>9.9999999999999985E-3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3.0944869240348696E-2</v>
      </c>
      <c r="J8" s="24">
        <f t="shared" si="3"/>
        <v>3.0944869240348696E-2</v>
      </c>
      <c r="K8" s="22">
        <f t="shared" si="4"/>
        <v>2.8389788293897884E-2</v>
      </c>
      <c r="L8" s="22">
        <f t="shared" si="5"/>
        <v>3.0944869240348696E-2</v>
      </c>
      <c r="M8" s="224">
        <f t="shared" si="6"/>
        <v>3.0944869240348696E-2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47985.279999999992</v>
      </c>
      <c r="T8" s="222">
        <f>IF($B$81=0,0,(SUMIF($N$6:$N$28,$U8,M$6:M$28)+SUMIF($N$91:$N$118,$U8,M$91:M$118))*$I$83*Poor!$B$81/$B$81)</f>
        <v>47991.807751519496</v>
      </c>
      <c r="U8" s="223">
        <v>2</v>
      </c>
      <c r="V8" s="56"/>
      <c r="W8" s="115"/>
      <c r="X8" s="118">
        <f>Poor!X8</f>
        <v>1</v>
      </c>
      <c r="Y8" s="184">
        <f t="shared" si="9"/>
        <v>0.12377947696139478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0.12377947696139478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3.0944869240348696E-2</v>
      </c>
      <c r="AJ8" s="120">
        <f t="shared" si="14"/>
        <v>6.1889738480697391E-2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1462.8589222353635</v>
      </c>
      <c r="T9" s="222">
        <f>IF($B$81=0,0,(SUMIF($N$6:$N$28,$U9,M$6:M$28)+SUMIF($N$91:$N$118,$U9,M$91:M$118))*$I$83*Poor!$B$81/$B$81)</f>
        <v>1462.8589222353635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1</v>
      </c>
      <c r="H10" s="24">
        <f t="shared" si="1"/>
        <v>1</v>
      </c>
      <c r="I10" s="22">
        <f t="shared" si="2"/>
        <v>1.6791518555417186E-2</v>
      </c>
      <c r="J10" s="24">
        <f t="shared" si="3"/>
        <v>1.6791518555417186E-2</v>
      </c>
      <c r="K10" s="22">
        <f t="shared" si="4"/>
        <v>1.6791518555417186E-2</v>
      </c>
      <c r="L10" s="22">
        <f t="shared" si="5"/>
        <v>1.6791518555417186E-2</v>
      </c>
      <c r="M10" s="224">
        <f t="shared" si="6"/>
        <v>1.6791518555417186E-2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6.7166074221668745E-2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6.7166074221668745E-2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1.6791518555417186E-2</v>
      </c>
      <c r="AJ10" s="120">
        <f t="shared" si="14"/>
        <v>3.3583037110834373E-2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1</v>
      </c>
      <c r="H11" s="24">
        <f t="shared" si="1"/>
        <v>1</v>
      </c>
      <c r="I11" s="22">
        <f t="shared" si="2"/>
        <v>1.2115068493150685E-2</v>
      </c>
      <c r="J11" s="24">
        <f t="shared" si="3"/>
        <v>2.0244294880111106E-3</v>
      </c>
      <c r="K11" s="22">
        <f t="shared" si="4"/>
        <v>2.2027397260273971E-3</v>
      </c>
      <c r="L11" s="22">
        <f t="shared" si="5"/>
        <v>2.2027397260273971E-3</v>
      </c>
      <c r="M11" s="224">
        <f t="shared" si="6"/>
        <v>2.0244294880111106E-3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17822.719999999998</v>
      </c>
      <c r="T11" s="222">
        <f>IF($B$81=0,0,(SUMIF($N$6:$N$28,$U11,M$6:M$28)+SUMIF($N$91:$N$118,$U11,M$91:M$118))*$I$83*Poor!$B$81/$B$81)</f>
        <v>17752.077525002398</v>
      </c>
      <c r="U11" s="223">
        <v>5</v>
      </c>
      <c r="V11" s="56"/>
      <c r="W11" s="115"/>
      <c r="X11" s="118">
        <f>Poor!X11</f>
        <v>1</v>
      </c>
      <c r="Y11" s="184">
        <f t="shared" si="9"/>
        <v>8.0977179520444423E-3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8.0977179520444423E-3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2.0244294880111106E-3</v>
      </c>
      <c r="AJ11" s="120">
        <f t="shared" si="14"/>
        <v>4.0488589760222212E-3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1</v>
      </c>
      <c r="H12" s="24">
        <f t="shared" si="1"/>
        <v>1</v>
      </c>
      <c r="I12" s="22">
        <f t="shared" si="2"/>
        <v>9.6108343711083441E-3</v>
      </c>
      <c r="J12" s="24">
        <f t="shared" si="3"/>
        <v>9.6108343711083441E-3</v>
      </c>
      <c r="K12" s="22">
        <f t="shared" si="4"/>
        <v>9.6108343711083441E-3</v>
      </c>
      <c r="L12" s="22">
        <f t="shared" si="5"/>
        <v>9.6108343711083441E-3</v>
      </c>
      <c r="M12" s="224">
        <f t="shared" si="6"/>
        <v>9.6108343711083441E-3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3.8443337484433376E-2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2.5757036114570364E-2</v>
      </c>
      <c r="AF12" s="122">
        <f>1-SUM(Z12,AB12,AD12)</f>
        <v>0.32999999999999996</v>
      </c>
      <c r="AG12" s="121">
        <f>$M12*AF12*4</f>
        <v>1.2686301369863012E-2</v>
      </c>
      <c r="AH12" s="123">
        <f t="shared" si="12"/>
        <v>1</v>
      </c>
      <c r="AI12" s="184">
        <f t="shared" si="13"/>
        <v>9.6108343711083441E-3</v>
      </c>
      <c r="AJ12" s="120">
        <f t="shared" si="14"/>
        <v>0</v>
      </c>
      <c r="AK12" s="119">
        <f t="shared" si="15"/>
        <v>1.9221668742216688E-2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217497.59999999995</v>
      </c>
      <c r="T13" s="222">
        <f>IF($B$81=0,0,(SUMIF($N$6:$N$28,$U13,M$6:M$28)+SUMIF($N$91:$N$118,$U13,M$91:M$118))*$I$83*Poor!$B$81/$B$81)</f>
        <v>217497.59999999995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1</v>
      </c>
      <c r="F14" s="22"/>
      <c r="H14" s="24">
        <f t="shared" si="1"/>
        <v>1</v>
      </c>
      <c r="I14" s="22">
        <f t="shared" si="2"/>
        <v>2.8557907845579078E-3</v>
      </c>
      <c r="J14" s="24">
        <f>IF(I$32&lt;=1+I131,I14,B14*H14+J$33*(I14-B14*H14))</f>
        <v>2.8557907845579078E-3</v>
      </c>
      <c r="K14" s="22">
        <f t="shared" si="4"/>
        <v>2.8557907845579078E-3</v>
      </c>
      <c r="L14" s="22">
        <f t="shared" si="5"/>
        <v>2.8557907845579078E-3</v>
      </c>
      <c r="M14" s="225">
        <f t="shared" si="6"/>
        <v>2.8557907845579078E-3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1.1423163138231631E-2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1.1423163138231631E-2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2.8557907845579078E-3</v>
      </c>
      <c r="AJ14" s="120">
        <f t="shared" si="14"/>
        <v>5.7115815691158155E-3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1</v>
      </c>
      <c r="F16" s="22"/>
      <c r="H16" s="24">
        <f t="shared" si="1"/>
        <v>1</v>
      </c>
      <c r="I16" s="22">
        <f t="shared" si="2"/>
        <v>2.0084682440846824E-3</v>
      </c>
      <c r="J16" s="24">
        <f>IF(I$32&lt;=1+I131,I16,B16*H16+J$33*(I16-B16*H16))</f>
        <v>2.0084682440846824E-3</v>
      </c>
      <c r="K16" s="22">
        <f t="shared" si="4"/>
        <v>2.0084682440846824E-3</v>
      </c>
      <c r="L16" s="22">
        <f t="shared" si="5"/>
        <v>2.0084682440846824E-3</v>
      </c>
      <c r="M16" s="224">
        <f t="shared" si="6"/>
        <v>2.0084682440846824E-3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8.0338729763387295E-3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8.0338729763387295E-3</v>
      </c>
      <c r="AH16" s="123">
        <f t="shared" si="12"/>
        <v>1</v>
      </c>
      <c r="AI16" s="184">
        <f t="shared" si="13"/>
        <v>2.0084682440846824E-3</v>
      </c>
      <c r="AJ16" s="120">
        <f t="shared" si="14"/>
        <v>0</v>
      </c>
      <c r="AK16" s="119">
        <f t="shared" si="15"/>
        <v>4.0169364881693648E-3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351428.67228948342</v>
      </c>
      <c r="T23" s="179">
        <f>SUM(T7:T22)</f>
        <v>351358.47630486981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6.0269387818004297E-2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6.0269387818004297E-2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0.24107755127201719</v>
      </c>
      <c r="Z27" s="156">
        <f>Poor!Z27</f>
        <v>0.25</v>
      </c>
      <c r="AA27" s="121">
        <f t="shared" si="16"/>
        <v>6.0269387818004297E-2</v>
      </c>
      <c r="AB27" s="156">
        <f>Poor!AB27</f>
        <v>0.25</v>
      </c>
      <c r="AC27" s="121">
        <f t="shared" si="7"/>
        <v>6.0269387818004297E-2</v>
      </c>
      <c r="AD27" s="156">
        <f>Poor!AD27</f>
        <v>0.25</v>
      </c>
      <c r="AE27" s="121">
        <f t="shared" si="8"/>
        <v>6.0269387818004297E-2</v>
      </c>
      <c r="AF27" s="122">
        <f t="shared" si="10"/>
        <v>0.25</v>
      </c>
      <c r="AG27" s="121">
        <f t="shared" si="11"/>
        <v>6.0269387818004297E-2</v>
      </c>
      <c r="AH27" s="123">
        <f t="shared" si="12"/>
        <v>1</v>
      </c>
      <c r="AI27" s="184">
        <f t="shared" si="13"/>
        <v>6.0269387818004297E-2</v>
      </c>
      <c r="AJ27" s="120">
        <f t="shared" si="14"/>
        <v>6.0269387818004297E-2</v>
      </c>
      <c r="AK27" s="119">
        <f t="shared" si="15"/>
        <v>6.0269387818004297E-2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0.41253785141127203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0.41253785141127203</v>
      </c>
      <c r="N29" s="229"/>
      <c r="P29" s="22"/>
      <c r="V29" s="56"/>
      <c r="W29" s="110"/>
      <c r="X29" s="118"/>
      <c r="Y29" s="184">
        <f t="shared" si="9"/>
        <v>1.6501514056450881</v>
      </c>
      <c r="Z29" s="156">
        <f>Poor!Z29</f>
        <v>0.25</v>
      </c>
      <c r="AA29" s="121">
        <f t="shared" si="16"/>
        <v>0.41253785141127203</v>
      </c>
      <c r="AB29" s="156">
        <f>Poor!AB29</f>
        <v>0.25</v>
      </c>
      <c r="AC29" s="121">
        <f t="shared" si="7"/>
        <v>0.41253785141127203</v>
      </c>
      <c r="AD29" s="156">
        <f>Poor!AD29</f>
        <v>0.25</v>
      </c>
      <c r="AE29" s="121">
        <f t="shared" si="8"/>
        <v>0.41253785141127203</v>
      </c>
      <c r="AF29" s="122">
        <f t="shared" si="10"/>
        <v>0.25</v>
      </c>
      <c r="AG29" s="121">
        <f t="shared" si="11"/>
        <v>0.41253785141127203</v>
      </c>
      <c r="AH29" s="123">
        <f t="shared" si="12"/>
        <v>1</v>
      </c>
      <c r="AI29" s="184">
        <f t="shared" si="13"/>
        <v>0.41253785141127203</v>
      </c>
      <c r="AJ29" s="120">
        <f t="shared" si="14"/>
        <v>0.41253785141127203</v>
      </c>
      <c r="AK29" s="119">
        <f t="shared" si="15"/>
        <v>0.41253785141127203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9.6313314500528708</v>
      </c>
      <c r="J30" s="231">
        <f>IF(I$32&lt;=1,I30,1-SUM(J6:J29))</f>
        <v>0.36744493587412574</v>
      </c>
      <c r="K30" s="22">
        <f t="shared" si="4"/>
        <v>0.85667246226650062</v>
      </c>
      <c r="L30" s="22">
        <f>IF(L124=L119,0,IF(K30="",0,(L119-L124)/(B119-B124)*K30))</f>
        <v>0.50978358982972571</v>
      </c>
      <c r="M30" s="175">
        <f t="shared" si="6"/>
        <v>0.36744493587412574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1.469779743496503</v>
      </c>
      <c r="Z30" s="122">
        <f>IF($Y30=0,0,AA30/($Y$30))</f>
        <v>0.17102106342454904</v>
      </c>
      <c r="AA30" s="188">
        <f>IF(AA79*4/$I$83+SUM(AA6:AA29)&lt;1,AA79*4/$I$83,1-SUM(AA6:AA29))</f>
        <v>0.25136329473263286</v>
      </c>
      <c r="AB30" s="122">
        <f>IF($Y30=0,0,AC30/($Y$30))</f>
        <v>0.29867291522551437</v>
      </c>
      <c r="AC30" s="188">
        <f>IF(AC79*4/$I$83+SUM(AC6:AC29)&lt;1,AC79*4/$I$83,1-SUM(AC6:AC29))</f>
        <v>0.43898340072950925</v>
      </c>
      <c r="AD30" s="122">
        <f>IF($Y30=0,0,AE30/($Y$30))</f>
        <v>0.27024327617149607</v>
      </c>
      <c r="AE30" s="188">
        <f>IF(AE79*4/$I$83+SUM(AE6:AE29)&lt;1,AE79*4/$I$83,1-SUM(AE6:AE29))</f>
        <v>0.39719809313299614</v>
      </c>
      <c r="AF30" s="122">
        <f>IF($Y30=0,0,AG30/($Y$30))</f>
        <v>0.26006274517844052</v>
      </c>
      <c r="AG30" s="188">
        <f>IF(AG79*4/$I$83+SUM(AG6:AG29)&lt;1,AG79*4/$I$83,1-SUM(AG6:AG29))</f>
        <v>0.38223495490136472</v>
      </c>
      <c r="AH30" s="123">
        <f t="shared" si="12"/>
        <v>1</v>
      </c>
      <c r="AI30" s="184">
        <f t="shared" si="13"/>
        <v>0.36744493587412574</v>
      </c>
      <c r="AJ30" s="120">
        <f t="shared" si="14"/>
        <v>0.34517334773107106</v>
      </c>
      <c r="AK30" s="119">
        <f t="shared" si="15"/>
        <v>0.38971652401718043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-0.1381374598385614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10.026139463324162</v>
      </c>
      <c r="J32" s="17"/>
      <c r="L32" s="22">
        <f>SUM(L6:L30)</f>
        <v>1.1381374598385614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-1.7988733243765754E-2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9406.0372716357688</v>
      </c>
      <c r="K37" s="40">
        <f t="shared" ref="K37:K52" si="28">(B37/B$65)</f>
        <v>4.6248762845593878E-2</v>
      </c>
      <c r="L37" s="22">
        <f t="shared" ref="L37:L52" si="29">(K37*H37)</f>
        <v>4.3658832126240617E-2</v>
      </c>
      <c r="M37" s="24">
        <f t="shared" ref="M37:M52" si="30">J37/B$65</f>
        <v>4.3501758709269957E-2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9406.0372716357688</v>
      </c>
      <c r="AH37" s="123">
        <f>SUM(Z37,AB37,AD37,AF37)</f>
        <v>1</v>
      </c>
      <c r="AI37" s="112">
        <f>SUM(AA37,AC37,AE37,AG37)</f>
        <v>9406.0372716357688</v>
      </c>
      <c r="AJ37" s="148">
        <f>(AA37+AC37)</f>
        <v>0</v>
      </c>
      <c r="AK37" s="147">
        <f>(AE37+AG37)</f>
        <v>9406.0372716357688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2265.6</v>
      </c>
      <c r="J38" s="38">
        <f t="shared" ref="J38:J64" si="33">J92*I$83</f>
        <v>1689.0111814907311</v>
      </c>
      <c r="K38" s="40">
        <f t="shared" si="28"/>
        <v>8.3247773122068977E-3</v>
      </c>
      <c r="L38" s="22">
        <f t="shared" si="29"/>
        <v>7.8585897827233107E-3</v>
      </c>
      <c r="M38" s="24">
        <f t="shared" si="30"/>
        <v>7.8114677576321149E-3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1689.0111814907311</v>
      </c>
      <c r="AH38" s="123">
        <f t="shared" ref="AH38:AI58" si="35">SUM(Z38,AB38,AD38,AF38)</f>
        <v>1</v>
      </c>
      <c r="AI38" s="112">
        <f t="shared" si="35"/>
        <v>1689.0111814907311</v>
      </c>
      <c r="AJ38" s="148">
        <f t="shared" ref="AJ38:AJ64" si="36">(AA38+AC38)</f>
        <v>0</v>
      </c>
      <c r="AK38" s="147">
        <f t="shared" ref="AK38:AK64" si="37">(AE38+AG38)</f>
        <v>1689.0111814907311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1764</v>
      </c>
      <c r="J41" s="38">
        <f t="shared" si="33"/>
        <v>1764</v>
      </c>
      <c r="K41" s="40">
        <f t="shared" si="28"/>
        <v>5.8273441185448293E-3</v>
      </c>
      <c r="L41" s="22">
        <f t="shared" si="29"/>
        <v>8.1582817659627601E-3</v>
      </c>
      <c r="M41" s="24">
        <f t="shared" si="30"/>
        <v>8.1582817659627601E-3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1764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1764</v>
      </c>
      <c r="AJ41" s="148">
        <f t="shared" si="36"/>
        <v>1764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230.87984469968609</v>
      </c>
      <c r="K42" s="40">
        <f t="shared" si="28"/>
        <v>7.4922995809862086E-4</v>
      </c>
      <c r="L42" s="22">
        <f t="shared" si="29"/>
        <v>1.0489219413380691E-3</v>
      </c>
      <c r="M42" s="24">
        <f t="shared" si="30"/>
        <v>1.0677907183343327E-3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57.719961174921522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115.43992234984304</v>
      </c>
      <c r="AF42" s="122">
        <f t="shared" si="31"/>
        <v>0.25</v>
      </c>
      <c r="AG42" s="147">
        <f t="shared" si="34"/>
        <v>57.719961174921522</v>
      </c>
      <c r="AH42" s="123">
        <f t="shared" si="35"/>
        <v>1</v>
      </c>
      <c r="AI42" s="112">
        <f t="shared" si="35"/>
        <v>230.87984469968609</v>
      </c>
      <c r="AJ42" s="148">
        <f t="shared" si="36"/>
        <v>57.719961174921522</v>
      </c>
      <c r="AK42" s="147">
        <f t="shared" si="37"/>
        <v>173.15988352476455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28000</v>
      </c>
      <c r="J47" s="38">
        <f t="shared" si="33"/>
        <v>27999.999999999996</v>
      </c>
      <c r="K47" s="40">
        <f t="shared" si="28"/>
        <v>9.2497525691187757E-2</v>
      </c>
      <c r="L47" s="22">
        <f t="shared" si="29"/>
        <v>0.12949653596766286</v>
      </c>
      <c r="M47" s="24">
        <f t="shared" si="30"/>
        <v>0.12949653596766283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6999.9999999999991</v>
      </c>
      <c r="AB47" s="156">
        <f>Poor!AB47</f>
        <v>0.25</v>
      </c>
      <c r="AC47" s="147">
        <f t="shared" si="39"/>
        <v>6999.9999999999991</v>
      </c>
      <c r="AD47" s="156">
        <f>Poor!AD47</f>
        <v>0.25</v>
      </c>
      <c r="AE47" s="147">
        <f t="shared" si="40"/>
        <v>6999.9999999999991</v>
      </c>
      <c r="AF47" s="122">
        <f t="shared" si="31"/>
        <v>0.25</v>
      </c>
      <c r="AG47" s="147">
        <f t="shared" si="34"/>
        <v>6999.9999999999991</v>
      </c>
      <c r="AH47" s="123">
        <f t="shared" si="35"/>
        <v>1</v>
      </c>
      <c r="AI47" s="112">
        <f t="shared" si="35"/>
        <v>27999.999999999996</v>
      </c>
      <c r="AJ47" s="148">
        <f t="shared" si="36"/>
        <v>13999.999999999998</v>
      </c>
      <c r="AK47" s="147">
        <f t="shared" si="37"/>
        <v>13999.999999999998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1.1100000000000001</v>
      </c>
      <c r="G48" s="22">
        <f t="shared" si="32"/>
        <v>1.65</v>
      </c>
      <c r="H48" s="24">
        <f t="shared" si="26"/>
        <v>1.1100000000000001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135936</v>
      </c>
      <c r="J50" s="38">
        <f t="shared" si="33"/>
        <v>135935.99999999997</v>
      </c>
      <c r="K50" s="40">
        <f t="shared" si="28"/>
        <v>0.66598218497655193</v>
      </c>
      <c r="L50" s="22">
        <f t="shared" si="29"/>
        <v>0.62868718261786494</v>
      </c>
      <c r="M50" s="24">
        <f t="shared" si="30"/>
        <v>0.62868718261786483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33983.999999999993</v>
      </c>
      <c r="AB50" s="156">
        <f>Poor!AB55</f>
        <v>0.25</v>
      </c>
      <c r="AC50" s="147">
        <f t="shared" si="39"/>
        <v>33983.999999999993</v>
      </c>
      <c r="AD50" s="156">
        <f>Poor!AD55</f>
        <v>0.25</v>
      </c>
      <c r="AE50" s="147">
        <f t="shared" si="40"/>
        <v>33983.999999999993</v>
      </c>
      <c r="AF50" s="122">
        <f t="shared" si="31"/>
        <v>0.25</v>
      </c>
      <c r="AG50" s="147">
        <f t="shared" si="34"/>
        <v>33983.999999999993</v>
      </c>
      <c r="AH50" s="123">
        <f t="shared" si="35"/>
        <v>1</v>
      </c>
      <c r="AI50" s="112">
        <f t="shared" si="35"/>
        <v>135935.99999999997</v>
      </c>
      <c r="AJ50" s="148">
        <f t="shared" si="36"/>
        <v>67967.999999999985</v>
      </c>
      <c r="AK50" s="147">
        <f t="shared" si="37"/>
        <v>67967.999999999985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218461.6</v>
      </c>
      <c r="J65" s="39">
        <f>SUM(J37:J64)</f>
        <v>216193.92829782615</v>
      </c>
      <c r="K65" s="40">
        <f>SUM(K37:K64)</f>
        <v>1.0000000000000002</v>
      </c>
      <c r="L65" s="22">
        <f>SUM(L37:L64)</f>
        <v>1.0000554985154146</v>
      </c>
      <c r="M65" s="24">
        <f>SUM(M37:M64)</f>
        <v>0.99987017185034888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50947.719961174909</v>
      </c>
      <c r="AB65" s="137"/>
      <c r="AC65" s="153">
        <f>SUM(AC37:AC64)</f>
        <v>49125.999999999993</v>
      </c>
      <c r="AD65" s="137"/>
      <c r="AE65" s="153">
        <f>SUM(AE37:AE64)</f>
        <v>49241.439922349833</v>
      </c>
      <c r="AF65" s="137"/>
      <c r="AG65" s="153">
        <f>SUM(AG37:AG64)</f>
        <v>60278.768414301412</v>
      </c>
      <c r="AH65" s="137"/>
      <c r="AI65" s="153">
        <f>SUM(AI37:AI64)</f>
        <v>209593.92829782615</v>
      </c>
      <c r="AJ65" s="153">
        <f>SUM(AJ37:AJ64)</f>
        <v>100073.71996117491</v>
      </c>
      <c r="AK65" s="153">
        <f>SUM(AK37:AK64)</f>
        <v>109520.20833665124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205297.52764704757</v>
      </c>
      <c r="J74" s="51">
        <f>J128*I$83</f>
        <v>7832.3061845173916</v>
      </c>
      <c r="K74" s="40">
        <f>B74/B$76</f>
        <v>5.1183310562586744E-2</v>
      </c>
      <c r="L74" s="22">
        <f>(L128*G$37*F$9/F$7)/B$130</f>
        <v>5.0255472614047267E-2</v>
      </c>
      <c r="M74" s="24">
        <f>J74/B$76</f>
        <v>3.6223447126182313E-2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1339.4893327428365</v>
      </c>
      <c r="AB74" s="156"/>
      <c r="AC74" s="147">
        <f>AC30*$I$83/4</f>
        <v>2339.2977210686345</v>
      </c>
      <c r="AD74" s="156"/>
      <c r="AE74" s="147">
        <f>AE30*$I$83/4</f>
        <v>2116.6280832822504</v>
      </c>
      <c r="AF74" s="156"/>
      <c r="AG74" s="147">
        <f>AG30*$I$83/4</f>
        <v>2036.89104742367</v>
      </c>
      <c r="AH74" s="155"/>
      <c r="AI74" s="147">
        <f>SUM(AA74,AC74,AE74,AG74)</f>
        <v>7832.3061845173916</v>
      </c>
      <c r="AJ74" s="148">
        <f>(AA74+AC74)</f>
        <v>3678.7870538114712</v>
      </c>
      <c r="AK74" s="147">
        <f>(AE74+AG74)</f>
        <v>4153.5191307059204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138703.0830936897</v>
      </c>
      <c r="K75" s="40">
        <f>B75/B$76</f>
        <v>0.6839057391631389</v>
      </c>
      <c r="L75" s="22">
        <f>(L129*G$37*F$9/F$7)/B$130</f>
        <v>0.62763790077247639</v>
      </c>
      <c r="M75" s="24">
        <f>J75/B$76</f>
        <v>0.64148459959527571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46317.212540193963</v>
      </c>
      <c r="AB75" s="158"/>
      <c r="AC75" s="149">
        <f>AA75+AC65-SUM(AC70,AC74)</f>
        <v>89812.896730887209</v>
      </c>
      <c r="AD75" s="158"/>
      <c r="AE75" s="149">
        <f>AC75+AE65-SUM(AE70,AE74)</f>
        <v>133646.69048171671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188597.54976035637</v>
      </c>
      <c r="AJ75" s="151">
        <f>AJ76-SUM(AJ70,AJ74)</f>
        <v>89812.896730887223</v>
      </c>
      <c r="AK75" s="149">
        <f>AJ75+AK76-SUM(AK70,AK74)</f>
        <v>188597.54976035631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218461.6</v>
      </c>
      <c r="J76" s="51">
        <f>J130*I$83</f>
        <v>216193.92829782618</v>
      </c>
      <c r="K76" s="40">
        <f>SUM(K70:K75)</f>
        <v>0.87957207561364381</v>
      </c>
      <c r="L76" s="22">
        <f>SUM(L70:L75)</f>
        <v>0.85795054773951462</v>
      </c>
      <c r="M76" s="24">
        <f>SUM(M70:M75)</f>
        <v>0.85776522107444908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50947.719961174909</v>
      </c>
      <c r="AB76" s="137"/>
      <c r="AC76" s="153">
        <f>AC65</f>
        <v>49125.999999999993</v>
      </c>
      <c r="AD76" s="137"/>
      <c r="AE76" s="153">
        <f>AE65</f>
        <v>49241.439922349833</v>
      </c>
      <c r="AF76" s="137"/>
      <c r="AG76" s="153">
        <f>AG65</f>
        <v>60278.768414301412</v>
      </c>
      <c r="AH76" s="137"/>
      <c r="AI76" s="153">
        <f>SUM(AA76,AC76,AE76,AG76)</f>
        <v>209593.92829782618</v>
      </c>
      <c r="AJ76" s="154">
        <f>SUM(AA76,AC76)</f>
        <v>100073.71996117491</v>
      </c>
      <c r="AK76" s="154">
        <f>SUM(AE76,AG76)</f>
        <v>109520.20833665124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46317.212540193963</v>
      </c>
      <c r="AD78" s="112"/>
      <c r="AE78" s="112">
        <f>AC75</f>
        <v>89812.896730887209</v>
      </c>
      <c r="AF78" s="112"/>
      <c r="AG78" s="112">
        <f>AE75</f>
        <v>133646.69048171671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47656.701872936799</v>
      </c>
      <c r="AB79" s="112"/>
      <c r="AC79" s="112">
        <f>AA79-AA74+AC65-AC70</f>
        <v>92152.194451955846</v>
      </c>
      <c r="AD79" s="112"/>
      <c r="AE79" s="112">
        <f>AC79-AC74+AE65-AE70</f>
        <v>135763.31856499895</v>
      </c>
      <c r="AF79" s="112"/>
      <c r="AG79" s="112">
        <f>AE79-AE74+AG65-AG70</f>
        <v>190634.44080778002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0.57212121212121214</v>
      </c>
      <c r="I91" s="22">
        <f t="shared" ref="I91" si="52">(D91*H91)</f>
        <v>0.53144197066889498</v>
      </c>
      <c r="J91" s="24">
        <f>IF(I$32&lt;=1+I$131,I91,L91+J$33*(I91-L91))</f>
        <v>0.44127498091659512</v>
      </c>
      <c r="K91" s="22">
        <f t="shared" ref="K91" si="53">(B91)</f>
        <v>0.77408126024335866</v>
      </c>
      <c r="L91" s="22">
        <f t="shared" ref="L91" si="54">(K91*H91)</f>
        <v>0.4428683088907458</v>
      </c>
      <c r="M91" s="227">
        <f t="shared" si="50"/>
        <v>0.44127498091659512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0.57212121212121214</v>
      </c>
      <c r="I92" s="22">
        <f t="shared" ref="I92:I118" si="59">(D92*H92)</f>
        <v>0.106288394133779</v>
      </c>
      <c r="J92" s="24">
        <f t="shared" ref="J92:J118" si="60">IF(I$32&lt;=1+I$131,I92,L92+J$33*(I92-L92))</f>
        <v>7.9238297208089059E-2</v>
      </c>
      <c r="K92" s="22">
        <f t="shared" ref="K92:K118" si="61">(B92)</f>
        <v>0.13933462684380457</v>
      </c>
      <c r="L92" s="22">
        <f t="shared" ref="L92:L118" si="62">(K92*H92)</f>
        <v>7.9716295600334261E-2</v>
      </c>
      <c r="M92" s="227">
        <f t="shared" ref="M92:M118" si="63">(J92)</f>
        <v>7.9238297208089059E-2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0.57212121212121214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0.84848484848484851</v>
      </c>
      <c r="I95" s="22">
        <f t="shared" si="59"/>
        <v>8.2756323822380892E-2</v>
      </c>
      <c r="J95" s="24">
        <f t="shared" si="60"/>
        <v>8.2756323822380892E-2</v>
      </c>
      <c r="K95" s="22">
        <f t="shared" si="61"/>
        <v>9.7534238790663197E-2</v>
      </c>
      <c r="L95" s="22">
        <f t="shared" si="62"/>
        <v>8.2756323822380892E-2</v>
      </c>
      <c r="M95" s="227">
        <f t="shared" si="63"/>
        <v>8.2756323822380892E-2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1.0831500675752967E-2</v>
      </c>
      <c r="K96" s="22">
        <f t="shared" si="61"/>
        <v>1.2540116415942411E-2</v>
      </c>
      <c r="L96" s="22">
        <f t="shared" si="62"/>
        <v>1.0640098777163258E-2</v>
      </c>
      <c r="M96" s="227">
        <f t="shared" si="63"/>
        <v>1.0831500675752967E-2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0.84848484848484851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0.84848484848484851</v>
      </c>
      <c r="I101" s="22">
        <f t="shared" si="59"/>
        <v>1.3135924416250935</v>
      </c>
      <c r="J101" s="24">
        <f t="shared" si="60"/>
        <v>1.3135924416250935</v>
      </c>
      <c r="K101" s="22">
        <f t="shared" si="61"/>
        <v>1.5481625204867173</v>
      </c>
      <c r="L101" s="22">
        <f t="shared" si="62"/>
        <v>1.3135924416250935</v>
      </c>
      <c r="M101" s="227">
        <f t="shared" si="63"/>
        <v>1.3135924416250935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0.67272727272727284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0.67272727272727284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0.57212121212121214</v>
      </c>
      <c r="I104" s="22">
        <f t="shared" si="59"/>
        <v>6.3773036480267393</v>
      </c>
      <c r="J104" s="24">
        <f t="shared" si="60"/>
        <v>6.3773036480267393</v>
      </c>
      <c r="K104" s="22">
        <f t="shared" si="61"/>
        <v>11.146770147504364</v>
      </c>
      <c r="L104" s="22">
        <f t="shared" si="62"/>
        <v>6.3773036480267393</v>
      </c>
      <c r="M104" s="227">
        <f t="shared" si="63"/>
        <v>6.3773036480267393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10.248910948047305</v>
      </c>
      <c r="J119" s="24">
        <f>SUM(J91:J118)</f>
        <v>10.142525362045069</v>
      </c>
      <c r="K119" s="22">
        <f>SUM(K91:K118)</f>
        <v>16.737339825233949</v>
      </c>
      <c r="L119" s="22">
        <f>SUM(L91:L118)</f>
        <v>10.144405286512875</v>
      </c>
      <c r="M119" s="57">
        <f t="shared" si="50"/>
        <v>10.142525362045069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9.6313314500528708</v>
      </c>
      <c r="J128" s="228">
        <f>(J30)</f>
        <v>0.36744493587412574</v>
      </c>
      <c r="K128" s="22">
        <f>(B128)</f>
        <v>0.85667246226650062</v>
      </c>
      <c r="L128" s="22">
        <f>IF(L124=L119,0,(L119-L124)/(B119-B124)*K128)</f>
        <v>0.50978358982972571</v>
      </c>
      <c r="M128" s="57">
        <f t="shared" si="90"/>
        <v>0.36744493587412574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6.507118627927432</v>
      </c>
      <c r="K129" s="29">
        <f>(B129)</f>
        <v>11.446762764801267</v>
      </c>
      <c r="L129" s="60">
        <f>IF(SUM(L124:L128)&gt;L130,0,L130-SUM(L124:L128))</f>
        <v>6.3666598984396376</v>
      </c>
      <c r="M129" s="57">
        <f t="shared" si="90"/>
        <v>6.507118627927432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10.248910948047305</v>
      </c>
      <c r="J130" s="228">
        <f>(J119)</f>
        <v>10.142525362045069</v>
      </c>
      <c r="K130" s="22">
        <f>(B130)</f>
        <v>16.737339825233949</v>
      </c>
      <c r="L130" s="22">
        <f>(L119)</f>
        <v>10.144405286512875</v>
      </c>
      <c r="M130" s="57">
        <f t="shared" si="90"/>
        <v>10.142525362045069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2242.4111185844035</v>
      </c>
      <c r="G72" s="109">
        <f>Poor!T7</f>
        <v>5120.9524914386247</v>
      </c>
      <c r="H72" s="109">
        <f>Middle!T7</f>
        <v>2748.9314780304885</v>
      </c>
      <c r="I72" s="109">
        <f>Rich!T7</f>
        <v>2361.2870326695383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67.2</v>
      </c>
      <c r="G73" s="109">
        <f>Poor!T8</f>
        <v>725.2</v>
      </c>
      <c r="H73" s="109">
        <f>Middle!T8</f>
        <v>1469.5096534422767</v>
      </c>
      <c r="I73" s="109">
        <f>Rich!T8</f>
        <v>47991.807751519496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345.57089924600831</v>
      </c>
      <c r="H74" s="109">
        <f>Middle!T9</f>
        <v>394.93817056686663</v>
      </c>
      <c r="I74" s="109">
        <f>Rich!T9</f>
        <v>1462.8589222353635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4577.4559999999992</v>
      </c>
      <c r="H76" s="109">
        <f>Middle!T11</f>
        <v>9361.7636026750224</v>
      </c>
      <c r="I76" s="109">
        <f>Rich!T11</f>
        <v>17752.077525002398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923.60773642057268</v>
      </c>
      <c r="G77" s="109">
        <f>Poor!T12</f>
        <v>487.314780573946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4395.6000000000004</v>
      </c>
      <c r="G78" s="109">
        <f>Poor!T13</f>
        <v>0</v>
      </c>
      <c r="H78" s="109">
        <f>Middle!T13</f>
        <v>116516.57142857143</v>
      </c>
      <c r="I78" s="109">
        <f>Rich!T13</f>
        <v>217497.59999999995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44639.42681431536</v>
      </c>
      <c r="G88" s="109">
        <f>Poor!T23</f>
        <v>59516.00172472452</v>
      </c>
      <c r="H88" s="109">
        <f>Middle!T23</f>
        <v>151604.11533571917</v>
      </c>
      <c r="I88" s="109">
        <f>Rich!T23</f>
        <v>351358.47630486981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2855.4610378186189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19279.487704485291</v>
      </c>
      <c r="G99" s="239">
        <f t="shared" si="0"/>
        <v>4402.9127940761318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52017.407704485289</v>
      </c>
      <c r="G100" s="239">
        <f t="shared" si="0"/>
        <v>37140.83279407613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2016-06-02T08:32:06Z</dcterms:modified>
  <cp:category/>
</cp:coreProperties>
</file>