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3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<sst xmlns="http://schemas.openxmlformats.org/spreadsheetml/2006/main" count="790" uniqueCount="145">
  <si>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</si>
  <si>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</si>
  <si>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</si>
  <si>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</si>
  <si>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</si>
  <si>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</si>
  <si>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</si>
  <si>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</si>
  <si>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</si>
  <si>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</si>
  <si>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</si>
  <si>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</si>
  <si>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</si>
  <si>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</si>
  <si>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</si>
  <si>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</si>
  <si>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</si>
  <si>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</si>
  <si>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</si>
  <si>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</si>
  <si>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</si>
  <si>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</si>
  <si>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</si>
  <si>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</si>
  <si>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</si>
  <si>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</si>
  <si>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</si>
  <si>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</si>
  <si>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</si>
  <si>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</si>
  <si>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</si>
  <si>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</si>
  <si>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</si>
  <si>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</si>
  <si>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</si>
  <si>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</si>
  <si>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</si>
  <si>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</si>
  <si>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</si>
  <si>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</si>
  <si>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</si>
  <si>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</si>
  <si>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</si>
  <si>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</si>
  <si>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</si>
  <si>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</si>
  <si>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</si>
  <si>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</si>
  <si>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</si>
  <si>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</si>
  <si>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</si>
  <si>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</si>
  <si>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</si>
  <si>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</si>
  <si>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</si>
  <si>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</si>
  <si>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</si>
  <si>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</si>
  <si>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</si>
  <si>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</si>
  <si>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</si>
  <si>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</si>
  <si>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</si>
  <si>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</si>
  <si>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</si>
  <si>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</si>
  <si>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</si>
  <si>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</si>
  <si>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</si>
  <si>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</si>
  <si>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</si>
  <si>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</si>
  <si>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</si>
  <si>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</si>
  <si>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</si>
  <si>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</si>
  <si>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</si>
  <si>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</si>
  <si>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</si>
  <si>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</si>
  <si>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</si>
  <si>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</si>
  <si>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</si>
  <si>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</si>
  <si>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</si>
  <si>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</si>
  <si>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</si>
  <si>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</si>
  <si>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</si>
  <si>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</si>
  <si>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</si>
  <si>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</si>
  <si>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</si>
  <si>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</si>
  <si>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</si>
  <si>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</si>
  <si>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</si>
  <si>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</si>
  <si>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</si>
  <si>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</si>
  <si>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</si>
  <si>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</si>
  <si>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</si>
  <si>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</si>
  <si>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</si>
  <si>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</si>
  <si>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</si>
  <si>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</si>
  <si>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</si>
  <si>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</si>
  <si>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</si>
  <si>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</si>
  <si>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</si>
  <si>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</si>
  <si>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</si>
  <si>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</si>
  <si>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</si>
  <si>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</si>
  <si>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</si>
  <si>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</si>
  <si>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</si>
  <si>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</si>
  <si>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</si>
  <si>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</si>
  <si>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</si>
  <si>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</si>
  <si>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</si>
  <si>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</si>
  <si>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t>Baseline: Q4</t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</si>
  <si>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</si>
  <si>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</si>
  <si>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</si>
  <si>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</si>
  <si>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t>Sources of Food : Q1 HHs</t>
  </si>
  <si>
    <t>Income : Q1 HHs</t>
  </si>
  <si>
    <t>Expenditure : Q1 HHs</t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</si>
  <si>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</si>
  <si>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</si>
  <si>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</si>
  <si>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Income : Q3 HHs</t>
  </si>
  <si>
    <t>Expenditure : Q3 HHs</t>
  </si>
  <si>
    <t>Sources of Food : Q3 HHs</t>
  </si>
  <si>
    <t>Sources of Food : Q4 HHs</t>
  </si>
  <si>
    <t>Income : Q4 HHs</t>
  </si>
  <si>
    <t>Expenditure : Q4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</si>
</sst>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5" fillId="0" borderId="0" xfId="0" applyNumberFormat="1" applyFont="1" applyBorder="1" applyProtection="1">
      <alignment vertical="top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435864"/>
        <c:axId val="2131431448"/>
      </c:barChart>
      <c:catAx>
        <c:axId val="213143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3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43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3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161528"/>
        <c:axId val="-2064415080"/>
      </c:barChart>
      <c:catAx>
        <c:axId val="213216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41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41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16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39448"/>
        <c:axId val="2131930840"/>
      </c:barChart>
      <c:catAx>
        <c:axId val="213193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3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93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3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386072"/>
        <c:axId val="-2070383080"/>
      </c:barChart>
      <c:catAx>
        <c:axId val="-207038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38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8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38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262008"/>
        <c:axId val="-20702586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262008"/>
        <c:axId val="-2070258632"/>
      </c:lineChart>
      <c:catAx>
        <c:axId val="-207026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5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25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6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46507048126113"/>
          <c:y val="0.0203488372093023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145224"/>
        <c:axId val="-20701418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45224"/>
        <c:axId val="-2070141896"/>
      </c:lineChart>
      <c:catAx>
        <c:axId val="-207014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14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141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14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051096"/>
        <c:axId val="-20700477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051096"/>
        <c:axId val="-2070047752"/>
      </c:lineChart>
      <c:catAx>
        <c:axId val="-2070051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04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04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05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986040"/>
        <c:axId val="-2069982696"/>
      </c:barChart>
      <c:catAx>
        <c:axId val="-206998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98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98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98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428040"/>
        <c:axId val="-2070424680"/>
      </c:barChart>
      <c:catAx>
        <c:axId val="-207042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42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2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42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490680"/>
        <c:axId val="-2070487160"/>
      </c:barChart>
      <c:catAx>
        <c:axId val="-207049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48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8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490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527576"/>
        <c:axId val="-2090532088"/>
      </c:barChart>
      <c:catAx>
        <c:axId val="-209052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53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053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52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241480"/>
        <c:axId val="-2100247080"/>
      </c:barChart>
      <c:catAx>
        <c:axId val="-210024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4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4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4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629400"/>
        <c:axId val="-2070626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29400"/>
        <c:axId val="-2070626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29400"/>
        <c:axId val="-2070626040"/>
      </c:scatterChart>
      <c:catAx>
        <c:axId val="-207062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626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062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62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634168"/>
        <c:axId val="-20906308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34168"/>
        <c:axId val="-2090630808"/>
      </c:lineChart>
      <c:catAx>
        <c:axId val="-2090634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0630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0630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06341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785240"/>
        <c:axId val="-20707819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798472"/>
        <c:axId val="-2070795480"/>
      </c:scatterChart>
      <c:valAx>
        <c:axId val="-20707852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781960"/>
        <c:crosses val="autoZero"/>
        <c:crossBetween val="midCat"/>
      </c:valAx>
      <c:valAx>
        <c:axId val="-2070781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785240"/>
        <c:crosses val="autoZero"/>
        <c:crossBetween val="midCat"/>
      </c:valAx>
      <c:valAx>
        <c:axId val="-20707984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0795480"/>
        <c:crosses val="autoZero"/>
        <c:crossBetween val="midCat"/>
      </c:valAx>
      <c:valAx>
        <c:axId val="-2070795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7984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16280"/>
        <c:axId val="-20709103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16280"/>
        <c:axId val="-2070910328"/>
      </c:lineChart>
      <c:catAx>
        <c:axId val="-207091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910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0910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9162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223112"/>
        <c:axId val="-2090043416"/>
      </c:barChart>
      <c:catAx>
        <c:axId val="-209022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04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004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22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835576"/>
        <c:axId val="-2100264248"/>
      </c:barChart>
      <c:catAx>
        <c:axId val="-209083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6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6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83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968680"/>
        <c:axId val="-2089981992"/>
      </c:barChart>
      <c:catAx>
        <c:axId val="-20899686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981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98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96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082936"/>
        <c:axId val="-2090079624"/>
      </c:barChart>
      <c:catAx>
        <c:axId val="-209008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07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00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08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188872"/>
        <c:axId val="-2090185560"/>
      </c:barChart>
      <c:catAx>
        <c:axId val="-2090188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185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018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18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298888"/>
        <c:axId val="-2090318824"/>
      </c:barChart>
      <c:catAx>
        <c:axId val="-2090298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318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031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29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427192"/>
        <c:axId val="-2090435272"/>
      </c:barChart>
      <c:catAx>
        <c:axId val="-209042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43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043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42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54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133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2530.8000000000006</v>
      </c>
      <c r="T13" s="220">
        <f>IF($B$81=0,0,(SUMIF($N$6:$N$28,$U13,M$6:M$28)+SUMIF($N$91:$N$118,$U13,M$91:M$118))*$I$83*'Q2'!$B$81/$B$81)</f>
        <v>2530.8000000000006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8952.7375066721161</v>
      </c>
      <c r="T23" s="177">
        <f>SUM(T7:T22)</f>
        <v>9420.7375066721161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</v>
      </c>
      <c r="J30" s="229">
        <f>IF(I$32&lt;=1,I30,1-SUM(J6:J29))</f>
        <v>0</v>
      </c>
      <c r="K30" s="21">
        <f t="shared" si="4"/>
        <v>0.52537235996264009</v>
      </c>
      <c r="L30" s="21">
        <f>IF(L124=L119,0,IF(K30="",0,(L119-L124)/(B119-B124)*K30))</f>
        <v>0</v>
      </c>
      <c r="M30" s="173">
        <f t="shared" si="6"/>
        <v>0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10248.786287303885</v>
      </c>
      <c r="T30" s="232">
        <f t="shared" si="24"/>
        <v>9780.7862873038848</v>
      </c>
      <c r="V30" s="55"/>
      <c r="W30" s="109"/>
      <c r="X30" s="117"/>
      <c r="Y30" s="181">
        <f>M30*4</f>
        <v>0</v>
      </c>
      <c r="Z30" s="121">
        <f>IF($Y30=0,0,AA30/($Y$30))</f>
        <v>0</v>
      </c>
      <c r="AA30" s="185" t="e">
        <f>IF(AA79*4/$I$83+SUM(AA6:AA29)&lt;1,AA79*4/$I$83,1-SUM(AA6:AA29))</f>
        <v>#DIV/0!</v>
      </c>
      <c r="AB30" s="121">
        <f>IF($Y30=0,0,AC30/($Y$30))</f>
        <v>0</v>
      </c>
      <c r="AC30" s="185" t="e">
        <f>IF(AC79*4/$I$83+SUM(AC6:AC29)&lt;1,AC79*4/$I$83,1-SUM(AC6:AC29))</f>
        <v>#DIV/0!</v>
      </c>
      <c r="AD30" s="121">
        <f>IF($Y30=0,0,AE30/($Y$30))</f>
        <v>0</v>
      </c>
      <c r="AE30" s="185" t="e">
        <f>IF(AE79*4/$I$83+SUM(AE6:AE29)&lt;1,AE79*4/$I$83,1-SUM(AE6:AE29))</f>
        <v>#DIV/0!</v>
      </c>
      <c r="AF30" s="121">
        <f>IF($Y30=0,0,AG30/($Y$30))</f>
        <v>0</v>
      </c>
      <c r="AG30" s="185" t="e">
        <f>IF(AG79*4/$I$83+SUM(AG6:AG29)&lt;1,AG79*4/$I$83,1-SUM(AG6:AG29))</f>
        <v>#DIV/0!</v>
      </c>
      <c r="AH30" s="122">
        <f t="shared" si="12"/>
        <v>0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0.65631560701038394</v>
      </c>
      <c r="K31" s="21" t="str">
        <f t="shared" si="4"/>
        <v/>
      </c>
      <c r="L31" s="21">
        <f>(1-SUM(L6:L30))</f>
        <v>0.51828810215412446</v>
      </c>
      <c r="M31" s="239">
        <f t="shared" si="6"/>
        <v>0.65631560701038394</v>
      </c>
      <c r="N31" s="166">
        <f>M31*I83</f>
        <v>7387.1439435989087</v>
      </c>
      <c r="P31" s="21"/>
      <c r="Q31" s="236" t="s">
        <v>122</v>
      </c>
      <c r="R31" s="232">
        <f t="shared" si="24"/>
        <v>0</v>
      </c>
      <c r="S31" s="232">
        <f t="shared" si="24"/>
        <v>19440.199620637221</v>
      </c>
      <c r="T31" s="232">
        <f>IF(T25&gt;T$23,T25-T$23,0)</f>
        <v>18972.199620637221</v>
      </c>
      <c r="V31" s="55"/>
      <c r="W31" s="128" t="s">
        <v>72</v>
      </c>
      <c r="X31" s="129"/>
      <c r="Y31" s="120">
        <f>M31*4</f>
        <v>2.6252624280415358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0.34368439298961606</v>
      </c>
      <c r="J32" s="16"/>
      <c r="L32" s="21">
        <f>SUM(L6:L30)</f>
        <v>0.48171189784587554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35809.15962063722</v>
      </c>
      <c r="T32" s="232">
        <f t="shared" si="24"/>
        <v>35341.15962063722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-4.1916998821182796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134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11585.05567703831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0.53508771929824561</v>
      </c>
      <c r="L43" s="21">
        <f t="shared" si="34"/>
        <v>0</v>
      </c>
      <c r="M43" s="23">
        <f t="shared" si="35"/>
        <v>0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599.40000000000009</v>
      </c>
      <c r="J44" s="37">
        <f t="shared" si="32"/>
        <v>599.40000000000009</v>
      </c>
      <c r="K44" s="39">
        <f t="shared" si="33"/>
        <v>2.819548872180451E-2</v>
      </c>
      <c r="L44" s="21">
        <f t="shared" si="34"/>
        <v>3.1296992481203011E-2</v>
      </c>
      <c r="M44" s="23">
        <f t="shared" si="35"/>
        <v>3.1296992481203011E-2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149.85000000000002</v>
      </c>
      <c r="AB44" s="155">
        <f>'Q2'!AB44</f>
        <v>0.25</v>
      </c>
      <c r="AC44" s="146">
        <f t="shared" si="41"/>
        <v>149.85000000000002</v>
      </c>
      <c r="AD44" s="155">
        <f>'Q2'!AD44</f>
        <v>0.25</v>
      </c>
      <c r="AE44" s="146">
        <f t="shared" si="42"/>
        <v>149.85000000000002</v>
      </c>
      <c r="AF44" s="121">
        <f t="shared" si="29"/>
        <v>0.25</v>
      </c>
      <c r="AG44" s="146">
        <f t="shared" si="36"/>
        <v>149.85000000000002</v>
      </c>
      <c r="AH44" s="122">
        <f t="shared" si="37"/>
        <v>1</v>
      </c>
      <c r="AI44" s="111">
        <f t="shared" si="37"/>
        <v>599.40000000000009</v>
      </c>
      <c r="AJ44" s="147">
        <f t="shared" si="38"/>
        <v>299.70000000000005</v>
      </c>
      <c r="AK44" s="146">
        <f t="shared" si="39"/>
        <v>299.70000000000005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8080.7999999999993</v>
      </c>
      <c r="J65" s="38">
        <f>SUM(J37:J64)</f>
        <v>8080.7999999999993</v>
      </c>
      <c r="K65" s="39">
        <f>SUM(K37:K64)</f>
        <v>1</v>
      </c>
      <c r="L65" s="21">
        <f>SUM(L37:L64)</f>
        <v>0.39749373433583957</v>
      </c>
      <c r="M65" s="23">
        <f>SUM(M37:M64)</f>
        <v>0.42192982456140349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135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8080.8000000000011</v>
      </c>
      <c r="J70" s="50">
        <f t="shared" ref="J70:J77" si="44">J124*I$83</f>
        <v>8080.8000000000011</v>
      </c>
      <c r="K70" s="39">
        <f>B70/B$76</f>
        <v>0.39065082138773188</v>
      </c>
      <c r="L70" s="21">
        <f t="shared" ref="L70:L74" si="45">(L124*G$37*F$9/F$7)/B$130</f>
        <v>0.39749373433583962</v>
      </c>
      <c r="M70" s="23">
        <f>J70/B$76</f>
        <v>0.42192982456140354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2020.2000000000003</v>
      </c>
      <c r="AB70" s="155">
        <f>'Q2'!AB70</f>
        <v>0.25</v>
      </c>
      <c r="AC70" s="146">
        <f>$J70*AB70</f>
        <v>2020.2000000000003</v>
      </c>
      <c r="AD70" s="155">
        <f>'Q2'!AD70</f>
        <v>0.25</v>
      </c>
      <c r="AE70" s="146">
        <f>$J70*AD70</f>
        <v>2020.2000000000003</v>
      </c>
      <c r="AF70" s="155">
        <f>'Q2'!AF70</f>
        <v>0.25</v>
      </c>
      <c r="AG70" s="146">
        <f>$J70*AF70</f>
        <v>2020.2000000000003</v>
      </c>
      <c r="AH70" s="154">
        <f>SUM(Z70,AB70,AD70,AF70)</f>
        <v>1</v>
      </c>
      <c r="AI70" s="146">
        <f>SUM(AA70,AC70,AE70,AG70)</f>
        <v>8080.8000000000011</v>
      </c>
      <c r="AJ70" s="147">
        <f>(AA70+AC70)</f>
        <v>4040.4000000000005</v>
      </c>
      <c r="AK70" s="146">
        <f>(AE70+AG70)</f>
        <v>4040.4000000000005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0</v>
      </c>
      <c r="J71" s="50">
        <f t="shared" si="44"/>
        <v>0</v>
      </c>
      <c r="K71" s="39">
        <f t="shared" ref="K71:K72" si="47">B71/B$76</f>
        <v>0.40671122250069619</v>
      </c>
      <c r="L71" s="21">
        <f t="shared" si="45"/>
        <v>0</v>
      </c>
      <c r="M71" s="23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0</v>
      </c>
      <c r="J74" s="50">
        <f t="shared" si="44"/>
        <v>0</v>
      </c>
      <c r="K74" s="39">
        <f>B74/B$76</f>
        <v>0.18712549975618942</v>
      </c>
      <c r="L74" s="21">
        <f t="shared" si="45"/>
        <v>0</v>
      </c>
      <c r="M74" s="23">
        <f>J74/B$76</f>
        <v>0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8080.8000000000011</v>
      </c>
      <c r="J76" s="50">
        <f t="shared" si="44"/>
        <v>8080.8000000000011</v>
      </c>
      <c r="K76" s="39">
        <f>SUM(K70:K75)</f>
        <v>1.7388212946888948</v>
      </c>
      <c r="L76" s="21">
        <f>SUM(L70:L75)</f>
        <v>0.39749373433583962</v>
      </c>
      <c r="M76" s="23">
        <f>SUM(M70:M75)</f>
        <v>0.42192982456140354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11585.05567703831</v>
      </c>
      <c r="J77" s="99">
        <f t="shared" si="44"/>
        <v>11585.05567703831</v>
      </c>
      <c r="K77" s="39"/>
      <c r="L77" s="21">
        <f>-(L131*G$37*F$9/F$7)/B$130</f>
        <v>-0.60490056793224256</v>
      </c>
      <c r="M77" s="23">
        <f>-J77/B$76</f>
        <v>-0.60490056793224256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</v>
      </c>
      <c r="I97" s="21">
        <f t="shared" si="54"/>
        <v>0</v>
      </c>
      <c r="J97" s="23">
        <f t="shared" si="55"/>
        <v>0</v>
      </c>
      <c r="K97" s="21">
        <f t="shared" si="56"/>
        <v>1.5023088688662143</v>
      </c>
      <c r="L97" s="21">
        <f t="shared" si="57"/>
        <v>0</v>
      </c>
      <c r="M97" s="226">
        <f t="shared" si="49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0.67272727272727284</v>
      </c>
      <c r="I98" s="21">
        <f t="shared" si="54"/>
        <v>5.3254082747759154E-2</v>
      </c>
      <c r="J98" s="23">
        <f t="shared" si="55"/>
        <v>5.3254082747759154E-2</v>
      </c>
      <c r="K98" s="21">
        <f t="shared" si="56"/>
        <v>7.9161474354777106E-2</v>
      </c>
      <c r="L98" s="21">
        <f t="shared" si="57"/>
        <v>5.3254082747759154E-2</v>
      </c>
      <c r="M98" s="226">
        <f t="shared" si="49"/>
        <v>5.3254082747759154E-2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0.7179439303771975</v>
      </c>
      <c r="J119" s="23">
        <f>SUM(J91:J118)</f>
        <v>0.7179439303771975</v>
      </c>
      <c r="K119" s="21">
        <f>SUM(K91:K118)</f>
        <v>2.8075936237827617</v>
      </c>
      <c r="L119" s="21">
        <f>SUM(L91:L118)</f>
        <v>0.67636416606963778</v>
      </c>
      <c r="M119" s="56">
        <f t="shared" si="49"/>
        <v>0.7179439303771975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0.7179439303771975</v>
      </c>
      <c r="J124" s="235">
        <f>IF(SUMPRODUCT($B$124:$B124,$H$124:$H124)&lt;J$119,($B124*$H124),J$119)</f>
        <v>0.7179439303771975</v>
      </c>
      <c r="K124" s="28">
        <f>(B124)</f>
        <v>1.0967887552536943</v>
      </c>
      <c r="L124" s="28">
        <f>IF(SUMPRODUCT($B$124:$B124,$H$124:$H124)&lt;L$119,($B124*$H124),L$119)</f>
        <v>0.67636416606963778</v>
      </c>
      <c r="M124" s="238">
        <f t="shared" si="66"/>
        <v>0.7179439303771975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</v>
      </c>
      <c r="J128" s="226">
        <f>(J30)</f>
        <v>0</v>
      </c>
      <c r="K128" s="28">
        <f>(B128)</f>
        <v>0.52537235996264009</v>
      </c>
      <c r="L128" s="28">
        <f>IF(L124=L119,0,(L119-L124)/(B119-B124)*K128)</f>
        <v>0</v>
      </c>
      <c r="M128" s="238">
        <f t="shared" si="66"/>
        <v>0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0.7179439303771975</v>
      </c>
      <c r="J130" s="226">
        <f>(J119)</f>
        <v>0.7179439303771975</v>
      </c>
      <c r="K130" s="28">
        <f>(B130)</f>
        <v>2.8075936237827617</v>
      </c>
      <c r="L130" s="28">
        <f>(L119)</f>
        <v>0.67636416606963778</v>
      </c>
      <c r="M130" s="238">
        <f t="shared" si="66"/>
        <v>0.7179439303771975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1.0292818045752337</v>
      </c>
      <c r="J131" s="235">
        <f>IF(SUMPRODUCT($B124:$B125,$H124:$H125)&gt;(J119-J128),SUMPRODUCT($B124:$B125,$H124:$H125)+J128-J119,0)</f>
        <v>1.0292818045752337</v>
      </c>
      <c r="K131" s="28"/>
      <c r="L131" s="28">
        <f>IF(I131&lt;SUM(L126:L127),0,I131-(SUM(L126:L127)))</f>
        <v>1.0292818045752337</v>
      </c>
      <c r="M131" s="235">
        <f>IF(I131&lt;SUM(M126:M127),0,I131-(SUM(M126:M127)))</f>
        <v>1.0292818045752337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9" t="s">
        <v>85</v>
      </c>
      <c r="AA1" s="260"/>
      <c r="AB1" s="259" t="s">
        <v>86</v>
      </c>
      <c r="AC1" s="260"/>
      <c r="AD1" s="259" t="s">
        <v>87</v>
      </c>
      <c r="AE1" s="260"/>
      <c r="AF1" s="259" t="s">
        <v>88</v>
      </c>
      <c r="AG1" s="260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7" t="s">
        <v>89</v>
      </c>
      <c r="AA2" s="261"/>
      <c r="AB2" s="257" t="s">
        <v>90</v>
      </c>
      <c r="AC2" s="261"/>
      <c r="AD2" s="257" t="s">
        <v>91</v>
      </c>
      <c r="AE2" s="261"/>
      <c r="AF2" s="257" t="s">
        <v>92</v>
      </c>
      <c r="AG2" s="261"/>
      <c r="AH2" s="116"/>
      <c r="AI2" s="109"/>
      <c r="AJ2" s="195" t="s">
        <v>93</v>
      </c>
      <c r="AK2" s="196" t="s">
        <v>94</v>
      </c>
      <c r="CM2" s="6"/>
    </row>
    <row r="3" spans="1:91">
      <c r="A3" s="269" t="s">
        <v>138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6147.1800000000012</v>
      </c>
      <c r="T13" s="220">
        <f>IF($B$81=0,0,(SUMIF($N$6:$N$28,$U13,M$6:M$28)+SUMIF($N$91:$N$118,$U13,M$91:M$118))*$I$83*'Q2'!$B$81/$B$81)</f>
        <v>6147.1800000000012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6552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17958.317506672116</v>
      </c>
      <c r="T23" s="177">
        <f>SUM(T7:T22)</f>
        <v>19050.317506672112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15">
        <v>0.25</v>
      </c>
      <c r="AA27" s="120">
        <f t="shared" si="16"/>
        <v>0</v>
      </c>
      <c r="AB27" s="115">
        <v>0.25</v>
      </c>
      <c r="AC27" s="120">
        <f t="shared" si="7"/>
        <v>0</v>
      </c>
      <c r="AD27" s="115"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15">
        <v>0.25</v>
      </c>
      <c r="AA29" s="120">
        <f t="shared" si="16"/>
        <v>0.22463677394199705</v>
      </c>
      <c r="AB29" s="115">
        <v>0.25</v>
      </c>
      <c r="AC29" s="120">
        <f t="shared" si="7"/>
        <v>0.22463677394199705</v>
      </c>
      <c r="AD29" s="115"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0.64288158609603208</v>
      </c>
      <c r="J30" s="229">
        <f>IF(I$32&lt;=1,I30,1-SUM(J6:J29))</f>
        <v>0.64288158609603208</v>
      </c>
      <c r="K30" s="21">
        <f t="shared" si="4"/>
        <v>0.55751374053549196</v>
      </c>
      <c r="L30" s="21">
        <f>IF(L124=L119,0,IF(K30="",0,(L119-L124)/(B119-B124)*K30))</f>
        <v>9.3535796921425426E-2</v>
      </c>
      <c r="M30" s="173">
        <f t="shared" si="6"/>
        <v>0.64288158609603208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1243.2062873038849</v>
      </c>
      <c r="T30" s="232">
        <f t="shared" si="50"/>
        <v>151.20628730388853</v>
      </c>
      <c r="V30" s="55"/>
      <c r="W30" s="109"/>
      <c r="X30" s="117"/>
      <c r="Y30" s="181">
        <f>M30*4</f>
        <v>2.5715263443841283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1.3434020914351863E-2</v>
      </c>
      <c r="K31" s="21" t="str">
        <f t="shared" si="4"/>
        <v/>
      </c>
      <c r="L31" s="21">
        <f>(1-SUM(L6:L30))</f>
        <v>0.42633115376943631</v>
      </c>
      <c r="M31" s="176">
        <f t="shared" si="6"/>
        <v>1.3434020914351863E-2</v>
      </c>
      <c r="N31" s="166">
        <f>M31*I83</f>
        <v>151.20628730388447</v>
      </c>
      <c r="P31" s="21"/>
      <c r="Q31" s="236" t="s">
        <v>122</v>
      </c>
      <c r="R31" s="232">
        <f t="shared" si="50"/>
        <v>0</v>
      </c>
      <c r="S31" s="232">
        <f t="shared" si="50"/>
        <v>10434.619620637219</v>
      </c>
      <c r="T31" s="232">
        <f>IF(T25&gt;T$23,T25-T$23,0)</f>
        <v>9342.6196206372224</v>
      </c>
      <c r="V31" s="55"/>
      <c r="W31" s="128" t="s">
        <v>72</v>
      </c>
      <c r="X31" s="129"/>
      <c r="Y31" s="120">
        <f>M31*4</f>
        <v>5.3736083657407452E-2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0.98656597908564814</v>
      </c>
      <c r="J32" s="16"/>
      <c r="L32" s="21">
        <f>SUM(L6:L30)</f>
        <v>0.57366884623056369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26803.579620637218</v>
      </c>
      <c r="T32" s="232">
        <f t="shared" si="50"/>
        <v>25711.579620637222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1.3288465848163067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69" t="s">
        <v>136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9191.4133333333357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6552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0.22078447230084916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6552</v>
      </c>
      <c r="AH41" s="122">
        <f t="shared" si="61"/>
        <v>1</v>
      </c>
      <c r="AI41" s="111">
        <f t="shared" si="61"/>
        <v>6552</v>
      </c>
      <c r="AJ41" s="147">
        <f t="shared" si="62"/>
        <v>0</v>
      </c>
      <c r="AK41" s="146">
        <f t="shared" si="63"/>
        <v>6552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0</v>
      </c>
      <c r="F43" s="25">
        <v>1.18</v>
      </c>
      <c r="G43" s="21">
        <f t="shared" si="59"/>
        <v>1.65</v>
      </c>
      <c r="H43" s="23">
        <f t="shared" si="51"/>
        <v>0</v>
      </c>
      <c r="I43" s="38">
        <f t="shared" si="52"/>
        <v>0</v>
      </c>
      <c r="J43" s="37">
        <f t="shared" si="53"/>
        <v>0</v>
      </c>
      <c r="K43" s="39">
        <f t="shared" si="54"/>
        <v>0.34532955923978975</v>
      </c>
      <c r="L43" s="21">
        <f t="shared" si="55"/>
        <v>0</v>
      </c>
      <c r="M43" s="23">
        <f t="shared" si="56"/>
        <v>0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0</v>
      </c>
      <c r="AB43" s="115">
        <v>0.25</v>
      </c>
      <c r="AC43" s="146">
        <f t="shared" si="65"/>
        <v>0</v>
      </c>
      <c r="AD43" s="115">
        <v>0.25</v>
      </c>
      <c r="AE43" s="146">
        <f t="shared" si="66"/>
        <v>0</v>
      </c>
      <c r="AF43" s="121">
        <f t="shared" si="57"/>
        <v>0.25</v>
      </c>
      <c r="AG43" s="146">
        <f t="shared" si="60"/>
        <v>0</v>
      </c>
      <c r="AH43" s="122">
        <f t="shared" si="61"/>
        <v>1</v>
      </c>
      <c r="AI43" s="111">
        <f t="shared" si="61"/>
        <v>0</v>
      </c>
      <c r="AJ43" s="147">
        <f t="shared" si="62"/>
        <v>0</v>
      </c>
      <c r="AK43" s="146">
        <f t="shared" si="63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1.1100000000000001</v>
      </c>
      <c r="G44" s="21">
        <f t="shared" si="59"/>
        <v>1.65</v>
      </c>
      <c r="H44" s="23">
        <f t="shared" si="51"/>
        <v>1.1100000000000001</v>
      </c>
      <c r="I44" s="38">
        <f t="shared" si="52"/>
        <v>1851.4800000000002</v>
      </c>
      <c r="J44" s="37">
        <f t="shared" si="53"/>
        <v>1851.4800000000002</v>
      </c>
      <c r="K44" s="39">
        <f t="shared" si="54"/>
        <v>5.6207035988677718E-2</v>
      </c>
      <c r="L44" s="21">
        <f t="shared" si="55"/>
        <v>6.2389809947432276E-2</v>
      </c>
      <c r="M44" s="23">
        <f t="shared" si="56"/>
        <v>6.2389809947432276E-2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462.87000000000006</v>
      </c>
      <c r="AB44" s="115">
        <v>0.25</v>
      </c>
      <c r="AC44" s="146">
        <f t="shared" si="65"/>
        <v>462.87000000000006</v>
      </c>
      <c r="AD44" s="115">
        <v>0.25</v>
      </c>
      <c r="AE44" s="146">
        <f t="shared" si="66"/>
        <v>462.87000000000006</v>
      </c>
      <c r="AF44" s="121">
        <f t="shared" si="57"/>
        <v>0.25</v>
      </c>
      <c r="AG44" s="146">
        <f t="shared" si="60"/>
        <v>462.87000000000006</v>
      </c>
      <c r="AH44" s="122">
        <f t="shared" si="61"/>
        <v>1</v>
      </c>
      <c r="AI44" s="111">
        <f t="shared" si="61"/>
        <v>1851.4800000000002</v>
      </c>
      <c r="AJ44" s="147">
        <f t="shared" si="62"/>
        <v>925.74000000000012</v>
      </c>
      <c r="AK44" s="146">
        <f t="shared" si="63"/>
        <v>925.74000000000012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17710.38</v>
      </c>
      <c r="J65" s="38">
        <f>SUM(J37:J64)</f>
        <v>17710.379999999997</v>
      </c>
      <c r="K65" s="39">
        <f>SUM(K37:K64)</f>
        <v>1</v>
      </c>
      <c r="L65" s="21">
        <f>SUM(L37:L64)</f>
        <v>0.55999393449251922</v>
      </c>
      <c r="M65" s="23">
        <f>SUM(M37:M64)</f>
        <v>0.59679134654266075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69" t="s">
        <v>137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7235.9376562950247</v>
      </c>
      <c r="J71" s="50">
        <f t="shared" si="75"/>
        <v>7235.9376562950247</v>
      </c>
      <c r="K71" s="39">
        <f t="shared" ref="K71:K72" si="78">B71/B$76</f>
        <v>0.2624792200206677</v>
      </c>
      <c r="L71" s="21">
        <f t="shared" si="76"/>
        <v>0.20703388786544763</v>
      </c>
      <c r="M71" s="23">
        <f t="shared" ref="M71:M72" si="79">J71/B$76</f>
        <v>0.24383129991558919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0</v>
      </c>
      <c r="K72" s="39">
        <f t="shared" si="78"/>
        <v>0.46744844318641326</v>
      </c>
      <c r="L72" s="21">
        <f t="shared" si="76"/>
        <v>0</v>
      </c>
      <c r="M72" s="23">
        <f t="shared" si="79"/>
        <v>0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7235.9376562950247</v>
      </c>
      <c r="J74" s="50">
        <f t="shared" si="75"/>
        <v>7235.9376562950247</v>
      </c>
      <c r="K74" s="39">
        <f>B74/B$76</f>
        <v>0.12815338994473646</v>
      </c>
      <c r="L74" s="21">
        <f t="shared" si="76"/>
        <v>3.5476136578260743E-2</v>
      </c>
      <c r="M74" s="23">
        <f>J74/B$76</f>
        <v>0.24383129991558919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0</v>
      </c>
      <c r="K75" s="39">
        <f>B75/B$76</f>
        <v>0</v>
      </c>
      <c r="L75" s="21">
        <f t="shared" si="76"/>
        <v>0</v>
      </c>
      <c r="M75" s="23">
        <f>J75/B$76</f>
        <v>0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17710.38</v>
      </c>
      <c r="J76" s="50">
        <f t="shared" si="75"/>
        <v>17710.38</v>
      </c>
      <c r="K76" s="39">
        <f>SUM(K70:K75)</f>
        <v>1.1495200790049596</v>
      </c>
      <c r="L76" s="21">
        <f>SUM(L70:L75)</f>
        <v>0.59547007107077987</v>
      </c>
      <c r="M76" s="23">
        <f>SUM(M70:M75)</f>
        <v>0.84062264645824991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9191.4133333333357</v>
      </c>
      <c r="K77" s="39"/>
      <c r="L77" s="21">
        <f>-(L131*G$37*F$9/F$7)/B$130</f>
        <v>-0.30972547962438796</v>
      </c>
      <c r="M77" s="23">
        <f>-J77/B$76</f>
        <v>-0.3097254796243879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0.58211670030583573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0.58211670030583573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</v>
      </c>
      <c r="I97" s="21">
        <f t="shared" si="88"/>
        <v>0</v>
      </c>
      <c r="J97" s="23">
        <f t="shared" si="89"/>
        <v>0</v>
      </c>
      <c r="K97" s="21">
        <f t="shared" si="90"/>
        <v>1.5023088688662143</v>
      </c>
      <c r="L97" s="21">
        <f t="shared" si="91"/>
        <v>0</v>
      </c>
      <c r="M97" s="225">
        <f t="shared" si="9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0.67272727272727284</v>
      </c>
      <c r="I98" s="21">
        <f t="shared" si="88"/>
        <v>0.16449594448752272</v>
      </c>
      <c r="J98" s="23">
        <f t="shared" si="89"/>
        <v>0.16449594448752272</v>
      </c>
      <c r="K98" s="21">
        <f t="shared" si="90"/>
        <v>0.24452099856253373</v>
      </c>
      <c r="L98" s="21">
        <f t="shared" si="91"/>
        <v>0.16449594448752272</v>
      </c>
      <c r="M98" s="225">
        <f t="shared" si="92"/>
        <v>0.16449594448752272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1.5734902269173485</v>
      </c>
      <c r="J119" s="23">
        <f>SUM(J91:J118)</f>
        <v>1.5734902269173485</v>
      </c>
      <c r="K119" s="21">
        <f>SUM(K91:K118)</f>
        <v>4.35036280176364</v>
      </c>
      <c r="L119" s="21">
        <f>SUM(L91:L118)</f>
        <v>1.4764707768663758</v>
      </c>
      <c r="M119" s="56">
        <f t="shared" si="80"/>
        <v>1.5734902269173485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0.64288158609603208</v>
      </c>
      <c r="J125" s="235">
        <f>IF(SUMPRODUCT($B$124:$B125,$H$124:$H125)&lt;J$119,($B125*$H125),IF(SUMPRODUCT($B$124:$B124,$H$124:$H124)&lt;J$119,J$119-SUMPRODUCT($B$124:$B124,$H$124:$H124),0))</f>
        <v>0.64288158609603208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0.5458621360450594</v>
      </c>
      <c r="M125" s="238">
        <f t="shared" si="93"/>
        <v>0.64288158609603208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0.64288158609603208</v>
      </c>
      <c r="J128" s="226">
        <f>(J30)</f>
        <v>0.64288158609603208</v>
      </c>
      <c r="K128" s="28">
        <f>(B128)</f>
        <v>0.55751374053549196</v>
      </c>
      <c r="L128" s="28">
        <f>IF(L124=L119,0,(L119-L124)/(B119-B124)*K128)</f>
        <v>9.3535796921425426E-2</v>
      </c>
      <c r="M128" s="238">
        <f t="shared" si="93"/>
        <v>0.64288158609603208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1.5734902269173485</v>
      </c>
      <c r="J130" s="226">
        <f>(J119)</f>
        <v>1.5734902269173485</v>
      </c>
      <c r="K130" s="28">
        <f>(B130)</f>
        <v>4.35036280176364</v>
      </c>
      <c r="L130" s="28">
        <f>(L119)</f>
        <v>1.4764707768663758</v>
      </c>
      <c r="M130" s="238">
        <f t="shared" si="93"/>
        <v>1.5734902269173485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0.81661709413111483</v>
      </c>
      <c r="K131" s="28"/>
      <c r="L131" s="28">
        <f>IF(I131&lt;SUM(L126:L127),0,I131-(SUM(L126:L127)))</f>
        <v>0.81661709413111483</v>
      </c>
      <c r="M131" s="235">
        <f>IF(I131&lt;SUM(M126:M127),0,I131-(SUM(M126:M127)))</f>
        <v>0.81661709413111483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141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9024.3000000000011</v>
      </c>
      <c r="T13" s="220">
        <f>IF($B$81=0,0,(SUMIF($N$6:$N$28,$U13,M$6:M$28)+SUMIF($N$91:$N$118,$U13,M$91:M$118))*$I$83*'Q2'!$B$81/$B$81)</f>
        <v>9024.3000000000011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7295.0429868591054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34897.037506672117</v>
      </c>
      <c r="T23" s="177">
        <f>SUM(T7:T22)</f>
        <v>35172.080493531219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2.1319053794898419E-2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2.1319053794898419E-2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8.5276215179593676E-2</v>
      </c>
      <c r="Z27" s="155">
        <f>'Q2'!Z27</f>
        <v>0.25</v>
      </c>
      <c r="AA27" s="120">
        <f t="shared" si="16"/>
        <v>2.1319053794898419E-2</v>
      </c>
      <c r="AB27" s="155">
        <f>'Q2'!AB27</f>
        <v>0.25</v>
      </c>
      <c r="AC27" s="120">
        <f t="shared" si="7"/>
        <v>2.1319053794898419E-2</v>
      </c>
      <c r="AD27" s="155">
        <f>'Q2'!AD27</f>
        <v>0.25</v>
      </c>
      <c r="AE27" s="120">
        <f t="shared" si="8"/>
        <v>2.1319053794898419E-2</v>
      </c>
      <c r="AF27" s="121">
        <f t="shared" si="10"/>
        <v>0.25</v>
      </c>
      <c r="AG27" s="120">
        <f t="shared" si="11"/>
        <v>2.1319053794898419E-2</v>
      </c>
      <c r="AH27" s="122">
        <f t="shared" si="12"/>
        <v>1</v>
      </c>
      <c r="AI27" s="181">
        <f t="shared" si="13"/>
        <v>2.1319053794898419E-2</v>
      </c>
      <c r="AJ27" s="119">
        <f t="shared" si="14"/>
        <v>2.1319053794898419E-2</v>
      </c>
      <c r="AK27" s="118">
        <f t="shared" si="15"/>
        <v>2.1319053794898419E-2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0.40896140501511863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0.40896140501511863</v>
      </c>
      <c r="N29" s="227"/>
      <c r="P29" s="21"/>
      <c r="V29" s="55"/>
      <c r="W29" s="109"/>
      <c r="X29" s="117"/>
      <c r="Y29" s="181">
        <f t="shared" si="9"/>
        <v>1.6358456200604745</v>
      </c>
      <c r="Z29" s="155">
        <f>'Q2'!Z29</f>
        <v>0.25</v>
      </c>
      <c r="AA29" s="120">
        <f t="shared" si="16"/>
        <v>0.40896140501511863</v>
      </c>
      <c r="AB29" s="155">
        <f>'Q2'!AB29</f>
        <v>0.25</v>
      </c>
      <c r="AC29" s="120">
        <f t="shared" si="7"/>
        <v>0.40896140501511863</v>
      </c>
      <c r="AD29" s="155">
        <f>'Q2'!AD29</f>
        <v>0.25</v>
      </c>
      <c r="AE29" s="120">
        <f t="shared" si="8"/>
        <v>0.40896140501511863</v>
      </c>
      <c r="AF29" s="121">
        <f t="shared" si="10"/>
        <v>0.25</v>
      </c>
      <c r="AG29" s="120">
        <f t="shared" si="11"/>
        <v>0.40896140501511863</v>
      </c>
      <c r="AH29" s="122">
        <f t="shared" si="12"/>
        <v>1</v>
      </c>
      <c r="AI29" s="181">
        <f t="shared" si="13"/>
        <v>0.40896140501511863</v>
      </c>
      <c r="AJ29" s="119">
        <f t="shared" si="14"/>
        <v>0.40896140501511863</v>
      </c>
      <c r="AK29" s="118">
        <f t="shared" si="15"/>
        <v>0.40896140501511863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2.1755330214287376</v>
      </c>
      <c r="J30" s="229">
        <f>IF(I$32&lt;=1,I30,1-SUM(J6:J29))</f>
        <v>0.45067192214236385</v>
      </c>
      <c r="K30" s="21">
        <f t="shared" si="4"/>
        <v>0.57900237422166878</v>
      </c>
      <c r="L30" s="21">
        <f>IF(L124=L119,0,IF(K30="",0,(L119-L124)/(B119-B124)*K30))</f>
        <v>0.2494881997055009</v>
      </c>
      <c r="M30" s="173">
        <f t="shared" si="6"/>
        <v>0.45067192214236385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1.8026876885694554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0.15108362769768946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2.5192174144183537</v>
      </c>
      <c r="J32" s="16"/>
      <c r="L32" s="21">
        <f>SUM(L6:L30)</f>
        <v>0.84891637230231054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9864.8596206372094</v>
      </c>
      <c r="T32" s="232">
        <f t="shared" si="24"/>
        <v>9589.8166337781076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0.19589956328996203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139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7295.0429868591054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0.18261347218531854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7295.0429868591054</v>
      </c>
      <c r="AH41" s="122">
        <f t="shared" si="37"/>
        <v>1</v>
      </c>
      <c r="AI41" s="111">
        <f t="shared" si="37"/>
        <v>7295.0429868591054</v>
      </c>
      <c r="AJ41" s="147">
        <f t="shared" si="38"/>
        <v>0</v>
      </c>
      <c r="AK41" s="146">
        <f t="shared" si="39"/>
        <v>7295.0429868591054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7.6299188945629329E-2</v>
      </c>
      <c r="L43" s="21">
        <f t="shared" si="34"/>
        <v>0</v>
      </c>
      <c r="M43" s="23">
        <f t="shared" si="35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2664.0000000000005</v>
      </c>
      <c r="J44" s="37">
        <f t="shared" si="32"/>
        <v>2664</v>
      </c>
      <c r="K44" s="39">
        <f t="shared" si="33"/>
        <v>6.0078101531991591E-2</v>
      </c>
      <c r="L44" s="21">
        <f t="shared" si="34"/>
        <v>6.6686692700510669E-2</v>
      </c>
      <c r="M44" s="23">
        <f t="shared" si="35"/>
        <v>6.6686692700510669E-2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666</v>
      </c>
      <c r="AB44" s="155">
        <f>'Q2'!AB44</f>
        <v>0.25</v>
      </c>
      <c r="AC44" s="146">
        <f t="shared" si="41"/>
        <v>666</v>
      </c>
      <c r="AD44" s="155">
        <f>'Q2'!AD44</f>
        <v>0.25</v>
      </c>
      <c r="AE44" s="146">
        <f t="shared" si="42"/>
        <v>666</v>
      </c>
      <c r="AF44" s="121">
        <f t="shared" si="29"/>
        <v>0.25</v>
      </c>
      <c r="AG44" s="146">
        <f t="shared" si="36"/>
        <v>666</v>
      </c>
      <c r="AH44" s="122">
        <f t="shared" si="37"/>
        <v>1</v>
      </c>
      <c r="AI44" s="111">
        <f t="shared" si="37"/>
        <v>2664</v>
      </c>
      <c r="AJ44" s="147">
        <f t="shared" si="38"/>
        <v>1332</v>
      </c>
      <c r="AK44" s="146">
        <f t="shared" si="39"/>
        <v>1332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34961.1</v>
      </c>
      <c r="J65" s="38">
        <f>SUM(J37:J64)</f>
        <v>33832.142986859108</v>
      </c>
      <c r="K65" s="39">
        <f>SUM(K37:K64)</f>
        <v>1</v>
      </c>
      <c r="L65" s="21">
        <f>SUM(L37:L64)</f>
        <v>0.84001952538299784</v>
      </c>
      <c r="M65" s="23">
        <f>SUM(M37:M64)</f>
        <v>0.84690455058724101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140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9093.7607316872181</v>
      </c>
      <c r="K72" s="39">
        <f t="shared" si="47"/>
        <v>0.34725142685491139</v>
      </c>
      <c r="L72" s="21">
        <f t="shared" si="45"/>
        <v>0.27743907365571896</v>
      </c>
      <c r="M72" s="23">
        <f t="shared" si="48"/>
        <v>0.22763995022747618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24486.657656295025</v>
      </c>
      <c r="J74" s="50">
        <f t="shared" si="44"/>
        <v>5072.5265781335738</v>
      </c>
      <c r="K74" s="39">
        <f>B74/B$76</f>
        <v>9.8870149079307149E-2</v>
      </c>
      <c r="L74" s="21">
        <f t="shared" si="45"/>
        <v>7.029408752786194E-2</v>
      </c>
      <c r="M74" s="23">
        <f>J74/B$76</f>
        <v>0.12697823616034778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34961.1</v>
      </c>
      <c r="J76" s="50">
        <f t="shared" si="44"/>
        <v>33832.142986859108</v>
      </c>
      <c r="K76" s="39">
        <f>SUM(K70:K75)</f>
        <v>1</v>
      </c>
      <c r="L76" s="21">
        <f>SUM(L70:L75)</f>
        <v>0.84001952538299784</v>
      </c>
      <c r="M76" s="23">
        <f>SUM(M70:M75)</f>
        <v>0.84690455058724101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0.64813283762204676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0.64813283762204676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</v>
      </c>
      <c r="I97" s="21">
        <f t="shared" si="58"/>
        <v>0</v>
      </c>
      <c r="J97" s="23">
        <f t="shared" si="59"/>
        <v>0</v>
      </c>
      <c r="K97" s="21">
        <f t="shared" si="60"/>
        <v>0.44682254413585304</v>
      </c>
      <c r="L97" s="21">
        <f t="shared" si="61"/>
        <v>0</v>
      </c>
      <c r="M97" s="225">
        <f t="shared" si="6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0.67272727272727284</v>
      </c>
      <c r="I98" s="21">
        <f t="shared" si="58"/>
        <v>0.23668481221226287</v>
      </c>
      <c r="J98" s="23">
        <f t="shared" si="59"/>
        <v>0.23668481221226287</v>
      </c>
      <c r="K98" s="21">
        <f t="shared" si="60"/>
        <v>0.35182877491012043</v>
      </c>
      <c r="L98" s="21">
        <f t="shared" si="61"/>
        <v>0.23668481221226287</v>
      </c>
      <c r="M98" s="225">
        <f t="shared" si="62"/>
        <v>0.23668481221226287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3.1061416622500539</v>
      </c>
      <c r="J119" s="23">
        <f>SUM(J91:J118)</f>
        <v>3.0058387423360262</v>
      </c>
      <c r="K119" s="21">
        <f>SUM(K91:K118)</f>
        <v>5.8561899583789554</v>
      </c>
      <c r="L119" s="21">
        <f>SUM(L91:L118)</f>
        <v>2.981402369327375</v>
      </c>
      <c r="M119" s="56">
        <f t="shared" si="49"/>
        <v>3.0058387423360262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0.80794108524123098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0.98468843466944289</v>
      </c>
      <c r="M126" s="56">
        <f t="shared" si="65"/>
        <v>0.80794108524123098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2.1755330214287376</v>
      </c>
      <c r="J128" s="226">
        <f>(J30)</f>
        <v>0.45067192214236385</v>
      </c>
      <c r="K128" s="21">
        <f>(B128)</f>
        <v>0.57900237422166878</v>
      </c>
      <c r="L128" s="21">
        <f>IF(L124=L119,0,(L119-L124)/(B119-B124)*K128)</f>
        <v>0.2494881997055009</v>
      </c>
      <c r="M128" s="56">
        <f t="shared" si="63"/>
        <v>0.45067192214236385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3.1061416622500539</v>
      </c>
      <c r="J130" s="226">
        <f>(J119)</f>
        <v>3.0058387423360262</v>
      </c>
      <c r="K130" s="21">
        <f>(B130)</f>
        <v>5.8561899583789554</v>
      </c>
      <c r="L130" s="21">
        <f>(L119)</f>
        <v>2.981402369327375</v>
      </c>
      <c r="M130" s="56">
        <f t="shared" si="63"/>
        <v>3.0058387423360262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8.6760088898838461E-3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13120.200000000003</v>
      </c>
      <c r="T13" s="220">
        <f>IF($B$81=0,0,(SUMIF($N$6:$N$28,$U13,M$6:M$28)+SUMIF($N$91:$N$118,$U13,M$91:M$118))*$I$83*'Q2'!$B$81/$B$81)</f>
        <v>13120.200000000003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9477.7431265203286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58910.53750667211</v>
      </c>
      <c r="T23" s="177">
        <f>SUM(T7:T22)</f>
        <v>58884.280633192437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6.7197906799030871E-2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6.7197906799030871E-2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0.26879162719612348</v>
      </c>
      <c r="Z27" s="155">
        <f>'Q2'!Z27</f>
        <v>0.25</v>
      </c>
      <c r="AA27" s="120">
        <f t="shared" si="16"/>
        <v>6.7197906799030871E-2</v>
      </c>
      <c r="AB27" s="155">
        <f>'Q2'!AB27</f>
        <v>0.25</v>
      </c>
      <c r="AC27" s="120">
        <f t="shared" si="7"/>
        <v>6.7197906799030871E-2</v>
      </c>
      <c r="AD27" s="155">
        <f>'Q2'!AD27</f>
        <v>0.25</v>
      </c>
      <c r="AE27" s="120">
        <f t="shared" si="8"/>
        <v>6.7197906799030871E-2</v>
      </c>
      <c r="AF27" s="121">
        <f t="shared" si="10"/>
        <v>0.25</v>
      </c>
      <c r="AG27" s="120">
        <f t="shared" si="11"/>
        <v>6.7197906799030871E-2</v>
      </c>
      <c r="AH27" s="122">
        <f t="shared" si="12"/>
        <v>1</v>
      </c>
      <c r="AI27" s="181">
        <f t="shared" si="13"/>
        <v>6.7197906799030871E-2</v>
      </c>
      <c r="AJ27" s="119">
        <f t="shared" si="14"/>
        <v>6.7197906799030871E-2</v>
      </c>
      <c r="AK27" s="118">
        <f t="shared" si="15"/>
        <v>6.7197906799030871E-2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0.53542508123083432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0.53542508123083432</v>
      </c>
      <c r="N29" s="227"/>
      <c r="P29" s="21"/>
      <c r="V29" s="55"/>
      <c r="W29" s="109"/>
      <c r="X29" s="117"/>
      <c r="Y29" s="181">
        <f t="shared" si="9"/>
        <v>2.1417003249233373</v>
      </c>
      <c r="Z29" s="155">
        <f>'Q2'!Z29</f>
        <v>0.25</v>
      </c>
      <c r="AA29" s="120">
        <f t="shared" si="16"/>
        <v>0.53542508123083432</v>
      </c>
      <c r="AB29" s="155">
        <f>'Q2'!AB29</f>
        <v>0.25</v>
      </c>
      <c r="AC29" s="120">
        <f t="shared" si="7"/>
        <v>0.53542508123083432</v>
      </c>
      <c r="AD29" s="155">
        <f>'Q2'!AD29</f>
        <v>0.25</v>
      </c>
      <c r="AE29" s="120">
        <f t="shared" si="8"/>
        <v>0.53542508123083432</v>
      </c>
      <c r="AF29" s="121">
        <f t="shared" si="10"/>
        <v>0.25</v>
      </c>
      <c r="AG29" s="120">
        <f t="shared" si="11"/>
        <v>0.53542508123083432</v>
      </c>
      <c r="AH29" s="122">
        <f t="shared" si="12"/>
        <v>1</v>
      </c>
      <c r="AI29" s="181">
        <f t="shared" si="13"/>
        <v>0.53542508123083432</v>
      </c>
      <c r="AJ29" s="119">
        <f t="shared" si="14"/>
        <v>0.53542508123083432</v>
      </c>
      <c r="AK29" s="118">
        <f t="shared" si="15"/>
        <v>0.53542508123083432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4.3531665622568996</v>
      </c>
      <c r="J30" s="229">
        <f>IF(I$32&lt;=1,I30,1-SUM(J6:J29))</f>
        <v>0.27832939292251579</v>
      </c>
      <c r="K30" s="21">
        <f t="shared" si="4"/>
        <v>0.62186232777085926</v>
      </c>
      <c r="L30" s="21">
        <f>IF(L124=L119,0,IF(K30="",0,(L119-L124)/(B119-B124)*K30))</f>
        <v>0.32954235818541761</v>
      </c>
      <c r="M30" s="173">
        <f t="shared" si="6"/>
        <v>0.27832939292251579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1.1133175716900632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-4.6062761168279343E-2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4.6968509552465161</v>
      </c>
      <c r="J32" s="16"/>
      <c r="L32" s="21">
        <f>SUM(L6:L30)</f>
        <v>1.0460627611682793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-1.3813590845786631E-2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9477.7431265203286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0.1545015507061869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9477.7431265203286</v>
      </c>
      <c r="AH41" s="122">
        <f t="shared" si="35"/>
        <v>1</v>
      </c>
      <c r="AI41" s="111">
        <f t="shared" si="35"/>
        <v>9477.7431265203286</v>
      </c>
      <c r="AJ41" s="147">
        <f t="shared" si="36"/>
        <v>0</v>
      </c>
      <c r="AK41" s="146">
        <f t="shared" si="37"/>
        <v>9477.7431265203286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0</v>
      </c>
      <c r="F43" s="74">
        <f>'Q3'!F43</f>
        <v>1.18</v>
      </c>
      <c r="G43" s="21">
        <f t="shared" si="32"/>
        <v>1.65</v>
      </c>
      <c r="H43" s="23">
        <f t="shared" si="26"/>
        <v>0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1.1100000000000001</v>
      </c>
      <c r="G44" s="21">
        <f t="shared" si="32"/>
        <v>1.65</v>
      </c>
      <c r="H44" s="23">
        <f t="shared" si="26"/>
        <v>1.1100000000000001</v>
      </c>
      <c r="I44" s="38">
        <f t="shared" si="27"/>
        <v>4262.4000000000005</v>
      </c>
      <c r="J44" s="37">
        <f t="shared" si="33"/>
        <v>4262.4000000000005</v>
      </c>
      <c r="K44" s="39">
        <f t="shared" si="28"/>
        <v>6.2597809076682318E-2</v>
      </c>
      <c r="L44" s="21">
        <f t="shared" si="29"/>
        <v>6.948356807511738E-2</v>
      </c>
      <c r="M44" s="23">
        <f t="shared" si="30"/>
        <v>6.948356807511738E-2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1065.6000000000001</v>
      </c>
      <c r="AB44" s="155">
        <f>'Q2'!AB44</f>
        <v>0.25</v>
      </c>
      <c r="AC44" s="146">
        <f t="shared" si="39"/>
        <v>1065.6000000000001</v>
      </c>
      <c r="AD44" s="155">
        <f>'Q2'!AD44</f>
        <v>0.25</v>
      </c>
      <c r="AE44" s="146">
        <f t="shared" si="40"/>
        <v>1065.6000000000001</v>
      </c>
      <c r="AF44" s="121">
        <f t="shared" si="31"/>
        <v>0.25</v>
      </c>
      <c r="AG44" s="146">
        <f t="shared" si="34"/>
        <v>1065.6000000000001</v>
      </c>
      <c r="AH44" s="122">
        <f t="shared" si="35"/>
        <v>1</v>
      </c>
      <c r="AI44" s="111">
        <f t="shared" si="35"/>
        <v>4262.4000000000005</v>
      </c>
      <c r="AJ44" s="147">
        <f t="shared" si="36"/>
        <v>2131.2000000000003</v>
      </c>
      <c r="AK44" s="146">
        <f t="shared" si="37"/>
        <v>2131.2000000000003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59471.400000000009</v>
      </c>
      <c r="J65" s="38">
        <f>SUM(J37:J64)</f>
        <v>57544.343126520325</v>
      </c>
      <c r="K65" s="39">
        <f>SUM(K37:K64)</f>
        <v>1.0000000000000002</v>
      </c>
      <c r="L65" s="21">
        <f>SUM(L37:L64)</f>
        <v>0.93848787167449144</v>
      </c>
      <c r="M65" s="23">
        <f>SUM(M37:M64)</f>
        <v>0.93805984491588956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48996.95765629501</v>
      </c>
      <c r="J74" s="50">
        <f>J128*I$83</f>
        <v>3132.729539403736</v>
      </c>
      <c r="K74" s="39">
        <f>B74/B$76</f>
        <v>6.915156967285789E-2</v>
      </c>
      <c r="L74" s="21">
        <f>(L128*G$37*F$9/F$7)/B$130</f>
        <v>6.0464850555334931E-2</v>
      </c>
      <c r="M74" s="23">
        <f>J74/B$76</f>
        <v>5.1068230624082812E-2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14817.917910078268</v>
      </c>
      <c r="K75" s="39">
        <f>B75/B$76</f>
        <v>0.40660681151273192</v>
      </c>
      <c r="L75" s="21">
        <f>(L129*G$37*F$9/F$7)/B$130</f>
        <v>0.23258588501720148</v>
      </c>
      <c r="M75" s="23">
        <f>J75/B$76</f>
        <v>0.24155447818985179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59471.399999999987</v>
      </c>
      <c r="J76" s="50">
        <f>J130*I$83</f>
        <v>57544.343126520318</v>
      </c>
      <c r="K76" s="39">
        <f>SUM(K70:K75)</f>
        <v>0.64688749782646493</v>
      </c>
      <c r="L76" s="21">
        <f>SUM(L70:L75)</f>
        <v>0.52181511910971978</v>
      </c>
      <c r="M76" s="23">
        <f>SUM(M70:M75)</f>
        <v>0.52138709235111802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0.84205625078698543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0.84205625078698543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0.67272727272727284</v>
      </c>
      <c r="I98" s="21">
        <f t="shared" si="59"/>
        <v>0.37869569953962062</v>
      </c>
      <c r="J98" s="23">
        <f t="shared" si="60"/>
        <v>0.37869569953962062</v>
      </c>
      <c r="K98" s="21">
        <f t="shared" si="61"/>
        <v>0.56292603985619272</v>
      </c>
      <c r="L98" s="21">
        <f t="shared" si="62"/>
        <v>0.37869569953962062</v>
      </c>
      <c r="M98" s="225">
        <f t="shared" si="63"/>
        <v>0.37869569953962062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5.2837752030782159</v>
      </c>
      <c r="J119" s="23">
        <f>SUM(J91:J118)</f>
        <v>5.1125645821240546</v>
      </c>
      <c r="K119" s="21">
        <f>SUM(K91:K118)</f>
        <v>8.992743486702679</v>
      </c>
      <c r="L119" s="21">
        <f>SUM(L91:L118)</f>
        <v>5.1148973911213584</v>
      </c>
      <c r="M119" s="56">
        <f t="shared" si="50"/>
        <v>5.1125645821240546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4.3531665622568996</v>
      </c>
      <c r="J128" s="226">
        <f>(J30)</f>
        <v>0.27832939292251579</v>
      </c>
      <c r="K128" s="21">
        <f>(B128)</f>
        <v>0.62186232777085926</v>
      </c>
      <c r="L128" s="21">
        <f>IF(L124=L119,0,(L119-L124)/(B119-B124)*K128)</f>
        <v>0.32954235818541761</v>
      </c>
      <c r="M128" s="56">
        <f t="shared" si="90"/>
        <v>0.27832939292251579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1.3165075517731237</v>
      </c>
      <c r="K129" s="28">
        <f>(B129)</f>
        <v>3.6565107558800642</v>
      </c>
      <c r="L129" s="59">
        <f>IF(SUM(L124:L128)&gt;L130,0,L130-SUM(L124:L128))</f>
        <v>1.2676273955075255</v>
      </c>
      <c r="M129" s="56">
        <f t="shared" si="90"/>
        <v>1.3165075517731237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5.2837752030782159</v>
      </c>
      <c r="J130" s="226">
        <f>(J119)</f>
        <v>5.1125645821240546</v>
      </c>
      <c r="K130" s="21">
        <f>(B130)</f>
        <v>8.992743486702679</v>
      </c>
      <c r="L130" s="21">
        <f>(L119)</f>
        <v>5.1148973911213584</v>
      </c>
      <c r="M130" s="56">
        <f t="shared" si="90"/>
        <v>5.1125645821240546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'Q1'!A3</f>
        <v>Sources of Food : Q1 HHs</v>
      </c>
      <c r="C3" s="265"/>
      <c r="D3" s="265"/>
      <c r="E3" s="265"/>
      <c r="F3" s="243"/>
      <c r="G3" s="262" t="str">
        <f>'Q2'!A3</f>
        <v>Sources of Food : Q2 HHs</v>
      </c>
      <c r="H3" s="262"/>
      <c r="I3" s="262"/>
      <c r="J3" s="262"/>
      <c r="K3" s="244"/>
      <c r="L3" s="262" t="str">
        <f>'Q3'!A3</f>
        <v>Sources of Food : Q3 HHs</v>
      </c>
      <c r="M3" s="262"/>
      <c r="N3" s="262"/>
      <c r="O3" s="262"/>
      <c r="P3" s="262"/>
      <c r="Q3" s="245"/>
      <c r="R3" s="262" t="str">
        <f>'Q4'!A3</f>
        <v>Sources of Food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52" workbookViewId="0">
      <selection activeCell="I95" sqref="I9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7" t="str">
        <f>'Q2'!A1</f>
        <v>ZA UP: 59899</v>
      </c>
      <c r="L2" s="267"/>
      <c r="M2" s="267"/>
      <c r="N2" s="267"/>
      <c r="O2" s="267"/>
      <c r="P2" s="267"/>
      <c r="Q2" s="267"/>
      <c r="R2" s="86"/>
      <c r="S2" s="86"/>
      <c r="T2" s="86"/>
      <c r="U2" s="86"/>
      <c r="V2" s="86"/>
    </row>
    <row r="3" spans="1:22" s="91" customFormat="1" ht="17">
      <c r="A3" s="89"/>
      <c r="B3" s="88"/>
      <c r="C3" s="268" t="str">
        <f>'Q1'!A34</f>
        <v>Income : Q1 HHs</v>
      </c>
      <c r="D3" s="268"/>
      <c r="E3" s="268"/>
      <c r="F3" s="89"/>
      <c r="G3" s="266" t="str">
        <f>'Q2'!A34</f>
        <v>Income : Q2 HHs</v>
      </c>
      <c r="H3" s="266"/>
      <c r="I3" s="266"/>
      <c r="J3" s="266"/>
      <c r="K3" s="88"/>
      <c r="L3" s="266" t="str">
        <f>'Q3'!A34</f>
        <v>Income : Q3 HHs</v>
      </c>
      <c r="M3" s="266"/>
      <c r="N3" s="266"/>
      <c r="O3" s="266"/>
      <c r="P3" s="266"/>
      <c r="Q3" s="90"/>
      <c r="R3" s="266" t="str">
        <f>'Q4'!A34</f>
        <v>Income : Q4 HHs</v>
      </c>
      <c r="S3" s="266"/>
      <c r="T3" s="266"/>
      <c r="U3" s="266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2530.8000000000006</v>
      </c>
      <c r="G78" s="108">
        <f>'Q2'!T13</f>
        <v>6147.1800000000012</v>
      </c>
      <c r="H78" s="108">
        <f>'Q3'!T13</f>
        <v>9024.3000000000011</v>
      </c>
      <c r="I78" s="108">
        <f>'Q4'!T13</f>
        <v>13120.200000000003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6552</v>
      </c>
      <c r="H81" s="108">
        <f>'Q3'!T16</f>
        <v>7295.0429868591054</v>
      </c>
      <c r="I81" s="108">
        <f>'Q4'!T16</f>
        <v>9477.7431265203286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0</v>
      </c>
      <c r="G85" s="108">
        <f>'Q2'!T20</f>
        <v>0</v>
      </c>
      <c r="H85" s="108">
        <f>'Q3'!T20</f>
        <v>0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9420.7375066721161</v>
      </c>
      <c r="G88" s="108">
        <f>'Q2'!T23</f>
        <v>19050.317506672112</v>
      </c>
      <c r="H88" s="108">
        <f>'Q3'!T23</f>
        <v>35172.080493531219</v>
      </c>
      <c r="I88" s="108">
        <f>'Q4'!T23</f>
        <v>58884.280633192437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9780.7862873038848</v>
      </c>
      <c r="G98" s="237">
        <f t="shared" si="0"/>
        <v>151.20628730388853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18972.199620637221</v>
      </c>
      <c r="G99" s="237">
        <f t="shared" si="0"/>
        <v>9342.6196206372224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35341.15962063722</v>
      </c>
      <c r="G100" s="237">
        <f t="shared" si="0"/>
        <v>25711.579620637222</v>
      </c>
      <c r="H100" s="237">
        <f t="shared" si="0"/>
        <v>9589.8166337781076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'Q1'!A67</f>
        <v>Expenditure : Q1 HHs</v>
      </c>
      <c r="C3" s="264"/>
      <c r="D3" s="264"/>
      <c r="E3" s="264"/>
      <c r="F3" s="248"/>
      <c r="G3" s="262" t="str">
        <f>'Q2'!A67</f>
        <v>Expenditure : Q2 HHs</v>
      </c>
      <c r="H3" s="262"/>
      <c r="I3" s="262"/>
      <c r="J3" s="262"/>
      <c r="K3" s="244"/>
      <c r="L3" s="262" t="str">
        <f>'Q3'!A67</f>
        <v>Expenditure : Q3 HHs</v>
      </c>
      <c r="M3" s="262"/>
      <c r="N3" s="262"/>
      <c r="O3" s="262"/>
      <c r="P3" s="262"/>
      <c r="Q3" s="245"/>
      <c r="R3" s="262" t="str">
        <f>'Q4'!A67</f>
        <v>Expenditure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2016-08-11T10:35:33Z</dcterms:modified>
  <cp:category/>
</cp:coreProperties>
</file>