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E51" i="7"/>
  <c r="E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E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J38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<sst xmlns="http://schemas.openxmlformats.org/spreadsheetml/2006/main" count="790" uniqueCount="145">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</sst>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0.00218555417185554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0.0101159146987767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0.0295772188705413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0.127510211777785</c:v>
                </c:pt>
                <c:pt idx="2" formatCode="0.0%">
                  <c:v>0.399611545357688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475544"/>
        <c:axId val="-2018856008"/>
      </c:barChart>
      <c:catAx>
        <c:axId val="-204447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85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85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47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0.103681326839772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0.0147407389273907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0.000751970622081227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0.00082302157989333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0.00117574511413333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0.00477352516338131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0.0205755394973332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045496"/>
        <c:axId val="-2095835544"/>
      </c:barChart>
      <c:catAx>
        <c:axId val="-204404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83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83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4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0.202016704415312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0.0712989484335202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0.234330063372598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0.000185346770573623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0.00199031542820657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0.00078980770960578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0.0036489116183787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0.00987259637007225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703064"/>
        <c:axId val="-2039096072"/>
      </c:barChart>
      <c:catAx>
        <c:axId val="-203870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09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09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0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0.0267210144927536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684904"/>
        <c:axId val="-2018654408"/>
      </c:barChart>
      <c:catAx>
        <c:axId val="-203868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5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65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84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2902.148691447055</c:v>
                </c:pt>
                <c:pt idx="6">
                  <c:v>3915.280050166076</c:v>
                </c:pt>
                <c:pt idx="7">
                  <c:v>3296.962145553272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0.0</c:v>
                </c:pt>
                <c:pt idx="6">
                  <c:v>1592.010271503696</c:v>
                </c:pt>
                <c:pt idx="7">
                  <c:v>31454.84569378431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6296.264392708493</c:v>
                </c:pt>
                <c:pt idx="7">
                  <c:v>33008.245983412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1461.307049044897</c:v>
                </c:pt>
                <c:pt idx="5">
                  <c:v>1647.514422489287</c:v>
                </c:pt>
                <c:pt idx="6">
                  <c:v>506.0704657465041</c:v>
                </c:pt>
                <c:pt idx="7">
                  <c:v>209.4131430817584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109656"/>
        <c:axId val="-20387126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109656"/>
        <c:axId val="-2038712600"/>
      </c:lineChart>
      <c:catAx>
        <c:axId val="-201910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1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1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0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023560"/>
        <c:axId val="-20401092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23560"/>
        <c:axId val="-2040109208"/>
      </c:lineChart>
      <c:catAx>
        <c:axId val="207402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10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10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402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832888"/>
        <c:axId val="-20194024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32888"/>
        <c:axId val="-2019402440"/>
      </c:lineChart>
      <c:catAx>
        <c:axId val="-21068328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40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0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83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0.0134835629243686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0.0570115472848017</c:v>
                </c:pt>
                <c:pt idx="2">
                  <c:v>0.178671748686419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-0.25392634436451</c:v>
                </c:pt>
                <c:pt idx="2">
                  <c:v>-0.0887189403508673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150600"/>
        <c:axId val="-2018583384"/>
      </c:barChart>
      <c:catAx>
        <c:axId val="-204015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58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58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15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0.052632282969734</c:v>
                </c:pt>
                <c:pt idx="2">
                  <c:v>0.0618603339694113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0.17134966877073</c:v>
                </c:pt>
                <c:pt idx="2">
                  <c:v>0.157646645310403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0.052632282969734</c:v>
                </c:pt>
                <c:pt idx="2">
                  <c:v>0.0618603339694113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-0.044743971514153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866376"/>
        <c:axId val="-2018712840"/>
      </c:barChart>
      <c:catAx>
        <c:axId val="-201886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712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1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866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0.0498237970929765</c:v>
                </c:pt>
                <c:pt idx="2">
                  <c:v>0.00941565702984617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0.463912963508784</c:v>
                </c:pt>
                <c:pt idx="2">
                  <c:v>0.529557101240587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0.0498237970929765</c:v>
                </c:pt>
                <c:pt idx="2">
                  <c:v>0.00941565702984617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537096"/>
        <c:axId val="-2107426168"/>
      </c:barChart>
      <c:catAx>
        <c:axId val="-201953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42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42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53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0.148345080821367</c:v>
                </c:pt>
                <c:pt idx="2">
                  <c:v>0.17506609531412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0.0358029552731782</c:v>
                </c:pt>
                <c:pt idx="2">
                  <c:v>0.17506609531412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-0.346898148148148</c:v>
                </c:pt>
                <c:pt idx="2">
                  <c:v>-0.346898148148148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887224"/>
        <c:axId val="-2040430424"/>
      </c:barChart>
      <c:catAx>
        <c:axId val="-203888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43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43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88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0.0151514559641026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0.00120459411587332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0.0309960890310351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0.000480979620508619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0.0277131095763288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0.0263437936384019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0.0126276292382923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0.0966628255851577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0.290474038329866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0.145669911147494</c:v>
                </c:pt>
                <c:pt idx="2" formatCode="0.0%">
                  <c:v>0.171210307522862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841528"/>
        <c:axId val="-2039067768"/>
      </c:barChart>
      <c:catAx>
        <c:axId val="-209584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6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06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84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9703832"/>
        <c:axId val="-20394402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03832"/>
        <c:axId val="-20394402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03832"/>
        <c:axId val="-2039440264"/>
      </c:scatterChart>
      <c:catAx>
        <c:axId val="-210970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440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440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970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143960"/>
        <c:axId val="-20385475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43960"/>
        <c:axId val="-2038547592"/>
      </c:lineChart>
      <c:catAx>
        <c:axId val="-2095143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47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547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51439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01640"/>
        <c:axId val="-20386737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128616"/>
        <c:axId val="-2038677224"/>
      </c:scatterChart>
      <c:valAx>
        <c:axId val="20741016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673752"/>
        <c:crosses val="autoZero"/>
        <c:crossBetween val="midCat"/>
      </c:valAx>
      <c:valAx>
        <c:axId val="-2038673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4101640"/>
        <c:crosses val="autoZero"/>
        <c:crossBetween val="midCat"/>
      </c:valAx>
      <c:valAx>
        <c:axId val="-20191286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8677224"/>
        <c:crosses val="autoZero"/>
        <c:crossBetween val="midCat"/>
      </c:valAx>
      <c:valAx>
        <c:axId val="-20386772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1286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815608"/>
        <c:axId val="20297735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15608"/>
        <c:axId val="2029773544"/>
      </c:lineChart>
      <c:catAx>
        <c:axId val="-203881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9773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29773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8156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-0.0254128775949983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0.0206810736207698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0.00176465084008695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0.0651877876232017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0.000594315249167299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0.0237889559824162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0.0109011234599064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0.0289020658187229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0.147494318189943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0.423620502831198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0.313229089334637</c:v>
                </c:pt>
                <c:pt idx="2" formatCode="0.0%">
                  <c:v>0.0591937557758266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062280"/>
        <c:axId val="-2043777080"/>
      </c:barChart>
      <c:catAx>
        <c:axId val="-204406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77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77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062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0.0617271928538539</c:v>
                </c:pt>
                <c:pt idx="2" formatCode="0.0%">
                  <c:v>0.301828118521866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6919000"/>
        <c:axId val="-2018880872"/>
      </c:barChart>
      <c:catAx>
        <c:axId val="-211691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88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88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691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0.00257108592777086</c:v>
                </c:pt>
                <c:pt idx="1">
                  <c:v>0.00154300124533001</c:v>
                </c:pt>
                <c:pt idx="2">
                  <c:v>0.00205704358655044</c:v>
                </c:pt>
                <c:pt idx="3">
                  <c:v>0.00257108592777086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-0.699658850892308</c:v>
                </c:pt>
                <c:pt idx="1">
                  <c:v>-0.700887362674653</c:v>
                </c:pt>
                <c:pt idx="2">
                  <c:v>-0.700887362674653</c:v>
                </c:pt>
                <c:pt idx="3">
                  <c:v>-0.307763592324327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824872"/>
        <c:axId val="-2016925832"/>
      </c:barChart>
      <c:catAx>
        <c:axId val="-210782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925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92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782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-0.0448620709025473</c:v>
                </c:pt>
                <c:pt idx="1">
                  <c:v>-0.0448620709025473</c:v>
                </c:pt>
                <c:pt idx="2">
                  <c:v>-0.0448620709025473</c:v>
                </c:pt>
                <c:pt idx="3">
                  <c:v>-0.0448620709025473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431752"/>
        <c:axId val="-2017428440"/>
      </c:barChart>
      <c:catAx>
        <c:axId val="-20174317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28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428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3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0.0606058238564102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0.0048183764634933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0.0309960890310351</c:v>
                </c:pt>
                <c:pt idx="1">
                  <c:v>0.0309960890310351</c:v>
                </c:pt>
                <c:pt idx="2">
                  <c:v>0.0309960890310351</c:v>
                </c:pt>
                <c:pt idx="3">
                  <c:v>0.0309960890310351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0.000565824425566339</c:v>
                </c:pt>
                <c:pt idx="1">
                  <c:v>0.000339571612079085</c:v>
                </c:pt>
                <c:pt idx="2">
                  <c:v>0.000452698018822712</c:v>
                </c:pt>
                <c:pt idx="3">
                  <c:v>0.000565824425566339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0.193325651170315</c:v>
                </c:pt>
                <c:pt idx="3">
                  <c:v>0.193325651170315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0.290474038329866</c:v>
                </c:pt>
                <c:pt idx="1">
                  <c:v>0.290474038329866</c:v>
                </c:pt>
                <c:pt idx="2">
                  <c:v>0.290474038329866</c:v>
                </c:pt>
                <c:pt idx="3">
                  <c:v>0.290474038329866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0.134596625659066</c:v>
                </c:pt>
                <c:pt idx="1">
                  <c:v>0.534192481571573</c:v>
                </c:pt>
                <c:pt idx="2">
                  <c:v>0.212117439411929</c:v>
                </c:pt>
                <c:pt idx="3">
                  <c:v>0.0265881991720601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310872"/>
        <c:axId val="-2106228808"/>
      </c:barChart>
      <c:catAx>
        <c:axId val="-2018310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2288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622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1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-0.20533280698208</c:v>
                </c:pt>
                <c:pt idx="1">
                  <c:v>0.103681296602086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0.0827242944830792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0.00705860336034781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0.0651877876232017</c:v>
                </c:pt>
                <c:pt idx="1">
                  <c:v>0.0651877876232017</c:v>
                </c:pt>
                <c:pt idx="2">
                  <c:v>0.0651877876232017</c:v>
                </c:pt>
                <c:pt idx="3">
                  <c:v>0.0651877876232017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0.00069915245912041</c:v>
                </c:pt>
                <c:pt idx="1">
                  <c:v>0.000419586565912113</c:v>
                </c:pt>
                <c:pt idx="2">
                  <c:v>0.000559369512516262</c:v>
                </c:pt>
                <c:pt idx="3">
                  <c:v>0.000699152459120411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0.294988636379885</c:v>
                </c:pt>
                <c:pt idx="3">
                  <c:v>0.294988636379885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0.423620502831198</c:v>
                </c:pt>
                <c:pt idx="1">
                  <c:v>0.423620502831198</c:v>
                </c:pt>
                <c:pt idx="2">
                  <c:v>0.423620502831198</c:v>
                </c:pt>
                <c:pt idx="3">
                  <c:v>0.423620502831198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0.29204639349575</c:v>
                </c:pt>
                <c:pt idx="1">
                  <c:v>0.265515050040849</c:v>
                </c:pt>
                <c:pt idx="2">
                  <c:v>-0.123934252100293</c:v>
                </c:pt>
                <c:pt idx="3">
                  <c:v>-0.0420270934030613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663784"/>
        <c:axId val="-2114000664"/>
      </c:barChart>
      <c:catAx>
        <c:axId val="-2105663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000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400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66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0.0205981612940766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940056"/>
        <c:axId val="2146038776"/>
      </c:barChart>
      <c:catAx>
        <c:axId val="-201694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03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03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94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1461.3070490448974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0.03</v>
      </c>
      <c r="K21" s="22">
        <f t="shared" si="21"/>
        <v>0.01</v>
      </c>
      <c r="L21" s="22">
        <f t="shared" si="22"/>
        <v>0.01</v>
      </c>
      <c r="M21" s="227">
        <f t="shared" si="23"/>
        <v>0.03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25646.250672447044</v>
      </c>
      <c r="T23" s="179">
        <f>SUM(T7:T22)</f>
        <v>26915.455371810309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0.30182811852186575</v>
      </c>
      <c r="J30" s="232">
        <f>IF(I$32&lt;=1,I30,1-SUM(J6:J29))</f>
        <v>0.30182811852186575</v>
      </c>
      <c r="K30" s="22">
        <f t="shared" si="4"/>
        <v>0.47410426400996258</v>
      </c>
      <c r="L30" s="22">
        <f>IF(L124=L119,0,IF(K30="",0,(L119-L124)/(B119-B124)*K30))</f>
        <v>6.1727192853853932E-2</v>
      </c>
      <c r="M30" s="175">
        <f t="shared" si="6"/>
        <v>0.30182811852186575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3597.8700089966042</v>
      </c>
      <c r="T30" s="235">
        <f t="shared" si="24"/>
        <v>2328.6653096333393</v>
      </c>
      <c r="U30" s="56"/>
      <c r="V30" s="56"/>
      <c r="W30" s="110"/>
      <c r="X30" s="118"/>
      <c r="Y30" s="183">
        <f>M30*4</f>
        <v>1.207312474087463</v>
      </c>
      <c r="Z30" s="122">
        <f>IF($Y30=0,0,AA30/($Y$30))</f>
        <v>-3.7158624519684456E-2</v>
      </c>
      <c r="AA30" s="187">
        <f>IF(AA79*4/$I$83+SUM(AA6:AA29)&lt;1,AA79*4/$I$83,1-SUM(AA6:AA29))</f>
        <v>-4.4862070902547312E-2</v>
      </c>
      <c r="AB30" s="122">
        <f>IF($Y30=0,0,AC30/($Y$30))</f>
        <v>-3.7158624519684456E-2</v>
      </c>
      <c r="AC30" s="187">
        <f>IF(AC79*4/$I$83+SUM(AC6:AC29)&lt;1,AC79*4/$I$83,1-SUM(AC6:AC29))</f>
        <v>-4.4862070902547312E-2</v>
      </c>
      <c r="AD30" s="122">
        <f>IF($Y30=0,0,AE30/($Y$30))</f>
        <v>-3.7158624519684456E-2</v>
      </c>
      <c r="AE30" s="187">
        <f>IF(AE79*4/$I$83+SUM(AE6:AE29)&lt;1,AE79*4/$I$83,1-SUM(AE6:AE29))</f>
        <v>-4.4862070902547312E-2</v>
      </c>
      <c r="AF30" s="122">
        <f>IF($Y30=0,0,AG30/($Y$30))</f>
        <v>-3.7158624519684456E-2</v>
      </c>
      <c r="AG30" s="187">
        <f>IF(AG79*4/$I$83+SUM(AG6:AG29)&lt;1,AG79*4/$I$83,1-SUM(AG6:AG29))</f>
        <v>-4.4862070902547312E-2</v>
      </c>
      <c r="AH30" s="123">
        <f t="shared" si="12"/>
        <v>-0.14863449807873783</v>
      </c>
      <c r="AI30" s="183">
        <f t="shared" si="13"/>
        <v>-4.4862070902547312E-2</v>
      </c>
      <c r="AJ30" s="120">
        <f t="shared" si="14"/>
        <v>-4.4862070902547312E-2</v>
      </c>
      <c r="AK30" s="119">
        <f t="shared" si="15"/>
        <v>-4.4862070902547312E-2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0.12122003262805447</v>
      </c>
      <c r="K31" s="22" t="str">
        <f t="shared" si="4"/>
        <v/>
      </c>
      <c r="L31" s="22">
        <f>(1-SUM(L6:L30))</f>
        <v>0.26379502165275814</v>
      </c>
      <c r="M31" s="242">
        <f t="shared" si="6"/>
        <v>0.12122003262805447</v>
      </c>
      <c r="N31" s="167">
        <f>M31*I83</f>
        <v>2328.6653096333425</v>
      </c>
      <c r="P31" s="22"/>
      <c r="Q31" s="239" t="s">
        <v>142</v>
      </c>
      <c r="R31" s="235">
        <f t="shared" si="24"/>
        <v>0</v>
      </c>
      <c r="S31" s="235">
        <f t="shared" si="24"/>
        <v>15087.136675663271</v>
      </c>
      <c r="T31" s="235">
        <f>IF(T25&gt;T$23,T25-T$23,0)</f>
        <v>13817.931976300006</v>
      </c>
      <c r="U31" s="243"/>
      <c r="V31" s="56"/>
      <c r="W31" s="129" t="s">
        <v>84</v>
      </c>
      <c r="X31" s="130"/>
      <c r="Y31" s="121">
        <f>M31*4</f>
        <v>0.4848801305122179</v>
      </c>
      <c r="Z31" s="131"/>
      <c r="AA31" s="132">
        <f>1-AA32+IF($Y32&lt;0,$Y32/4,0)</f>
        <v>0.21819018217077391</v>
      </c>
      <c r="AB31" s="131"/>
      <c r="AC31" s="133">
        <f>1-AC32+IF($Y32&lt;0,$Y32/4,0)</f>
        <v>0.67492028466143383</v>
      </c>
      <c r="AD31" s="134"/>
      <c r="AE31" s="133">
        <f>1-AE32+IF($Y32&lt;0,$Y32/4,0)</f>
        <v>0.6534507965418821</v>
      </c>
      <c r="AF31" s="134"/>
      <c r="AG31" s="133">
        <f>1-AG32+IF($Y32&lt;0,$Y32/4,0)</f>
        <v>0.63628856630526953</v>
      </c>
      <c r="AH31" s="123"/>
      <c r="AI31" s="182">
        <f>SUM(AA31,AC31,AE31,AG31)/4</f>
        <v>0.54571245741983976</v>
      </c>
      <c r="AJ31" s="135">
        <f t="shared" si="14"/>
        <v>0.44655523341610387</v>
      </c>
      <c r="AK31" s="136">
        <f t="shared" si="15"/>
        <v>0.64486968142357581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0.87877996737194553</v>
      </c>
      <c r="J32" s="17"/>
      <c r="L32" s="22">
        <f>SUM(L6:L30)</f>
        <v>0.73620497834724186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35548.336675663275</v>
      </c>
      <c r="T32" s="235">
        <f t="shared" si="24"/>
        <v>34279.131976300006</v>
      </c>
      <c r="U32" s="56"/>
      <c r="V32" s="56"/>
      <c r="W32" s="110"/>
      <c r="X32" s="118"/>
      <c r="Y32" s="115">
        <f>SUM(Y6:Y31)</f>
        <v>3.6887910585305108</v>
      </c>
      <c r="Z32" s="137"/>
      <c r="AA32" s="138">
        <f>SUM(AA6:AA30)</f>
        <v>0.78180981782922609</v>
      </c>
      <c r="AB32" s="137"/>
      <c r="AC32" s="139">
        <f>SUM(AC6:AC30)</f>
        <v>0.32507971533856617</v>
      </c>
      <c r="AD32" s="137"/>
      <c r="AE32" s="139">
        <f>SUM(AE6:AE30)</f>
        <v>0.34654920345811785</v>
      </c>
      <c r="AF32" s="137"/>
      <c r="AG32" s="139">
        <f>SUM(AG6:AG30)</f>
        <v>0.36371143369473052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2.1733420118797793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11489.266666666665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884.99999999999989</v>
      </c>
      <c r="K49" s="40">
        <f t="shared" si="33"/>
        <v>0</v>
      </c>
      <c r="L49" s="22">
        <f t="shared" si="34"/>
        <v>0</v>
      </c>
      <c r="M49" s="24">
        <f t="shared" si="35"/>
        <v>2.672101449275362E-2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221.24999999999997</v>
      </c>
      <c r="AB49" s="156">
        <f>Poor!AB49</f>
        <v>0.25</v>
      </c>
      <c r="AC49" s="147">
        <f t="shared" si="41"/>
        <v>221.24999999999997</v>
      </c>
      <c r="AD49" s="156">
        <f>Poor!AD49</f>
        <v>0.25</v>
      </c>
      <c r="AE49" s="147">
        <f t="shared" si="42"/>
        <v>221.24999999999997</v>
      </c>
      <c r="AF49" s="122">
        <f t="shared" si="29"/>
        <v>0.25</v>
      </c>
      <c r="AG49" s="147">
        <f t="shared" si="36"/>
        <v>221.24999999999997</v>
      </c>
      <c r="AH49" s="123">
        <f t="shared" si="37"/>
        <v>1</v>
      </c>
      <c r="AI49" s="112">
        <f t="shared" si="37"/>
        <v>884.99999999999989</v>
      </c>
      <c r="AJ49" s="148">
        <f t="shared" si="38"/>
        <v>442.49999999999994</v>
      </c>
      <c r="AK49" s="147">
        <f t="shared" si="39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0.47463768115942029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20147.400000000001</v>
      </c>
      <c r="J65" s="39">
        <f>SUM(J37:J64)</f>
        <v>20147.400000000001</v>
      </c>
      <c r="K65" s="40">
        <f>SUM(K37:K64)</f>
        <v>1</v>
      </c>
      <c r="L65" s="22">
        <f>SUM(L37:L64)</f>
        <v>0.58159420289855068</v>
      </c>
      <c r="M65" s="24">
        <f>SUM(M37:M64)</f>
        <v>0.60831521739130434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3371.85</v>
      </c>
      <c r="AB65" s="137"/>
      <c r="AC65" s="153">
        <f>SUM(AC37:AC64)</f>
        <v>3371.85</v>
      </c>
      <c r="AD65" s="137"/>
      <c r="AE65" s="153">
        <f>SUM(AE37:AE64)</f>
        <v>3371.85</v>
      </c>
      <c r="AF65" s="137"/>
      <c r="AG65" s="153">
        <f>SUM(AG37:AG64)</f>
        <v>3371.85</v>
      </c>
      <c r="AH65" s="137"/>
      <c r="AI65" s="153">
        <f>SUM(AI37:AI64)</f>
        <v>13487.4</v>
      </c>
      <c r="AJ65" s="153">
        <f>SUM(AJ37:AJ64)</f>
        <v>6743.7</v>
      </c>
      <c r="AK65" s="153">
        <f>SUM(AK37:AK64)</f>
        <v>6743.7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5798.1890768036674</v>
      </c>
      <c r="J71" s="51">
        <f t="shared" si="44"/>
        <v>5798.1890768036674</v>
      </c>
      <c r="K71" s="40">
        <f t="shared" ref="K71:K72" si="47">B71/B$76</f>
        <v>0.29398148148148151</v>
      </c>
      <c r="L71" s="22">
        <f t="shared" si="45"/>
        <v>0.14834508082136677</v>
      </c>
      <c r="M71" s="24">
        <f t="shared" ref="M71:M72" si="48">J71/B$76</f>
        <v>0.1750660953141204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0.52355072463768115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5798.1890768036674</v>
      </c>
      <c r="J74" s="51">
        <f t="shared" si="44"/>
        <v>5798.1890768036674</v>
      </c>
      <c r="K74" s="40">
        <f>B74/B$76</f>
        <v>0.16666034092811241</v>
      </c>
      <c r="L74" s="22">
        <f t="shared" si="45"/>
        <v>3.5802955273178193E-2</v>
      </c>
      <c r="M74" s="24">
        <f>J74/B$76</f>
        <v>0.1750660953141204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-215.45273079908338</v>
      </c>
      <c r="AB74" s="156"/>
      <c r="AC74" s="147">
        <f>AC30*$I$83/4</f>
        <v>-215.45273079908338</v>
      </c>
      <c r="AD74" s="156"/>
      <c r="AE74" s="147">
        <f>AE30*$I$83/4</f>
        <v>-215.45273079908338</v>
      </c>
      <c r="AF74" s="156"/>
      <c r="AG74" s="147">
        <f>AG30*$I$83/4</f>
        <v>-215.45273079908338</v>
      </c>
      <c r="AH74" s="155"/>
      <c r="AI74" s="147">
        <f>SUM(AA74,AC74,AE74,AG74)</f>
        <v>-861.81092319633353</v>
      </c>
      <c r="AJ74" s="148">
        <f>(AA74+AC74)</f>
        <v>-430.90546159816677</v>
      </c>
      <c r="AK74" s="147">
        <f>(AE74+AG74)</f>
        <v>-430.90546159816677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20147.400000000001</v>
      </c>
      <c r="J76" s="51">
        <f t="shared" si="44"/>
        <v>20147.400000000001</v>
      </c>
      <c r="K76" s="40">
        <f>SUM(K70:K75)</f>
        <v>1.3163011332100669</v>
      </c>
      <c r="L76" s="22">
        <f>SUM(L70:L75)</f>
        <v>0.61739715817172902</v>
      </c>
      <c r="M76" s="24">
        <f>SUM(M70:M75)</f>
        <v>0.78338131270542477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3371.85</v>
      </c>
      <c r="AB76" s="137"/>
      <c r="AC76" s="153">
        <f>AC65</f>
        <v>3371.85</v>
      </c>
      <c r="AD76" s="137"/>
      <c r="AE76" s="153">
        <f>AE65</f>
        <v>3371.85</v>
      </c>
      <c r="AF76" s="137"/>
      <c r="AG76" s="153">
        <f>AG65</f>
        <v>3371.85</v>
      </c>
      <c r="AH76" s="137"/>
      <c r="AI76" s="153">
        <f>SUM(AA76,AC76,AE76,AG76)</f>
        <v>13487.4</v>
      </c>
      <c r="AJ76" s="154">
        <f>SUM(AA76,AC76)</f>
        <v>6743.7</v>
      </c>
      <c r="AK76" s="154">
        <f>SUM(AE76,AG76)</f>
        <v>6743.7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11489.266666666665</v>
      </c>
      <c r="K77" s="40"/>
      <c r="L77" s="22">
        <f>-(L131*G$37*F$9/F$7)/B$130</f>
        <v>-0.34689814814814818</v>
      </c>
      <c r="M77" s="24">
        <f>-J77/B$76</f>
        <v>-0.34689814814814807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1047.8711668117278</v>
      </c>
      <c r="AB77" s="112"/>
      <c r="AC77" s="111">
        <f>AC31*$I$83/4</f>
        <v>3241.3443132814432</v>
      </c>
      <c r="AD77" s="112"/>
      <c r="AE77" s="111">
        <f>AE31*$I$83/4</f>
        <v>3138.2358354257485</v>
      </c>
      <c r="AF77" s="112"/>
      <c r="AG77" s="111">
        <f>AG31*$I$83/4</f>
        <v>3055.8132165699876</v>
      </c>
      <c r="AH77" s="110"/>
      <c r="AI77" s="154">
        <f>SUM(AA77,AC77,AE77,AG77)</f>
        <v>10483.264532088908</v>
      </c>
      <c r="AJ77" s="153">
        <f>SUM(AA77,AC77)</f>
        <v>4289.2154800931712</v>
      </c>
      <c r="AK77" s="160">
        <f>SUM(AE77,AG77)</f>
        <v>6194.0490519957366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-215.45273079908338</v>
      </c>
      <c r="AB79" s="112"/>
      <c r="AC79" s="112">
        <f>AA79-AA74+AC65-AC70</f>
        <v>-215.45273079908338</v>
      </c>
      <c r="AD79" s="112"/>
      <c r="AE79" s="112">
        <f>AC79-AC74+AE65-AE70</f>
        <v>-215.45273079908338</v>
      </c>
      <c r="AF79" s="112"/>
      <c r="AG79" s="112">
        <f>AE79-AE74+AG65-AG70</f>
        <v>-215.45273079908338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4.606919183792875E-2</v>
      </c>
      <c r="K103" s="22">
        <f t="shared" si="56"/>
        <v>0</v>
      </c>
      <c r="L103" s="22">
        <f t="shared" si="57"/>
        <v>0</v>
      </c>
      <c r="M103" s="229">
        <f t="shared" si="49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1.3502177377312949</v>
      </c>
      <c r="L105" s="22">
        <f t="shared" si="57"/>
        <v>0</v>
      </c>
      <c r="M105" s="229">
        <f t="shared" si="49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1.0487846730344472</v>
      </c>
      <c r="J119" s="24">
        <f>SUM(J91:J118)</f>
        <v>1.0487846730344472</v>
      </c>
      <c r="K119" s="22">
        <f>SUM(K91:K118)</f>
        <v>2.8447335543041019</v>
      </c>
      <c r="L119" s="22">
        <f>SUM(L91:L118)</f>
        <v>1.0027154811965184</v>
      </c>
      <c r="M119" s="57">
        <f t="shared" si="49"/>
        <v>1.0487846730344472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0.30182811852186575</v>
      </c>
      <c r="J125" s="238">
        <f>IF(SUMPRODUCT($B$124:$B125,$H$124:$H125)&lt;J$119,($B125*$H125),IF(SUMPRODUCT($B$124:$B124,$H$124:$H124)&lt;J$119,J$119-SUMPRODUCT($B$124:$B124,$H$124:$H124),0))</f>
        <v>0.30182811852186575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0.25575892668393696</v>
      </c>
      <c r="M125" s="241">
        <f t="shared" si="66"/>
        <v>0.30182811852186575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0.30182811852186575</v>
      </c>
      <c r="J128" s="229">
        <f>(J30)</f>
        <v>0.30182811852186575</v>
      </c>
      <c r="K128" s="29">
        <f>(B128)</f>
        <v>0.47410426400996258</v>
      </c>
      <c r="L128" s="29">
        <f>IF(L124=L119,0,(L119-L124)/(B119-B124)*K128)</f>
        <v>6.1727192853853932E-2</v>
      </c>
      <c r="M128" s="241">
        <f t="shared" si="66"/>
        <v>0.30182811852186575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1.0487846730344472</v>
      </c>
      <c r="J130" s="229">
        <f>(J119)</f>
        <v>1.0487846730344472</v>
      </c>
      <c r="K130" s="29">
        <f>(B130)</f>
        <v>2.8447335543041019</v>
      </c>
      <c r="L130" s="29">
        <f>(L119)</f>
        <v>1.0027154811965184</v>
      </c>
      <c r="M130" s="241">
        <f t="shared" si="66"/>
        <v>1.0487846730344472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0.59808048603817721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2902.1486914470547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1647.514422489287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2.1855541718555417E-3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2.1855541718555417E-3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8.7422166874221666E-3</v>
      </c>
      <c r="Z17" s="116">
        <v>0.29409999999999997</v>
      </c>
      <c r="AA17" s="121">
        <f t="shared" si="16"/>
        <v>2.5710859277708591E-3</v>
      </c>
      <c r="AB17" s="116">
        <v>0.17649999999999999</v>
      </c>
      <c r="AC17" s="121">
        <f t="shared" si="7"/>
        <v>1.5430012453300124E-3</v>
      </c>
      <c r="AD17" s="116">
        <v>0.23530000000000001</v>
      </c>
      <c r="AE17" s="121">
        <f t="shared" si="8"/>
        <v>2.057043586550436E-3</v>
      </c>
      <c r="AF17" s="122">
        <f t="shared" si="10"/>
        <v>0.29410000000000003</v>
      </c>
      <c r="AG17" s="121">
        <f t="shared" si="11"/>
        <v>2.5710859277708596E-3</v>
      </c>
      <c r="AH17" s="123">
        <f t="shared" si="12"/>
        <v>1</v>
      </c>
      <c r="AI17" s="183">
        <f t="shared" si="13"/>
        <v>2.1855541718555417E-3</v>
      </c>
      <c r="AJ17" s="120">
        <f t="shared" si="14"/>
        <v>2.0570435865504355E-3</v>
      </c>
      <c r="AK17" s="119">
        <f t="shared" si="15"/>
        <v>2.3140647571606478E-3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1.0115914698776705E-2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1.0115914698776705E-2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4.046365879510682E-2</v>
      </c>
      <c r="Z20" s="116">
        <v>3.2940999999999998</v>
      </c>
      <c r="AA20" s="121">
        <f t="shared" si="25"/>
        <v>0.13329133843696137</v>
      </c>
      <c r="AB20" s="116">
        <v>3.1764999999999999</v>
      </c>
      <c r="AC20" s="121">
        <f t="shared" si="26"/>
        <v>0.1285328121626568</v>
      </c>
      <c r="AD20" s="116">
        <v>3.2353000000000001</v>
      </c>
      <c r="AE20" s="121">
        <f t="shared" si="27"/>
        <v>0.13091207529980911</v>
      </c>
      <c r="AF20" s="122">
        <f t="shared" si="28"/>
        <v>-8.7058999999999997</v>
      </c>
      <c r="AG20" s="121">
        <f t="shared" si="29"/>
        <v>-0.35227256710432048</v>
      </c>
      <c r="AH20" s="123">
        <f t="shared" si="30"/>
        <v>1</v>
      </c>
      <c r="AI20" s="183">
        <f t="shared" si="31"/>
        <v>1.0115914698776693E-2</v>
      </c>
      <c r="AJ20" s="120">
        <f t="shared" si="32"/>
        <v>0.13091207529980908</v>
      </c>
      <c r="AK20" s="119">
        <f t="shared" si="33"/>
        <v>-0.11068024590225568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2.9577218870541266E-2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2.9577218870541266E-2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0.11830887548216507</v>
      </c>
      <c r="Z21" s="116">
        <v>4.2941000000000003</v>
      </c>
      <c r="AA21" s="121">
        <f t="shared" ref="AA21:AA25" si="41">$M21*Z21*4</f>
        <v>0.50803014220796505</v>
      </c>
      <c r="AB21" s="116">
        <v>4.1764999999999999</v>
      </c>
      <c r="AC21" s="121">
        <f t="shared" ref="AC21:AC25" si="42">$M21*AB21*4</f>
        <v>0.49411701845126238</v>
      </c>
      <c r="AD21" s="116">
        <v>4.2352999999999996</v>
      </c>
      <c r="AE21" s="121">
        <f t="shared" ref="AE21:AE25" si="43">$M21*AD21*4</f>
        <v>0.50107358032961369</v>
      </c>
      <c r="AF21" s="122">
        <f t="shared" ref="AF21:AF25" si="44">1-SUM(Z21,AB21,AD21)</f>
        <v>-11.7059</v>
      </c>
      <c r="AG21" s="121">
        <f t="shared" ref="AG21:AG25" si="45">$M21*AF21*4</f>
        <v>-1.3849118655066761</v>
      </c>
      <c r="AH21" s="123">
        <f t="shared" ref="AH21:AH25" si="46">SUM(Z21,AB21,AD21,AF21)</f>
        <v>1</v>
      </c>
      <c r="AI21" s="183">
        <f t="shared" ref="AI21:AI25" si="47">SUM(AA21,AC21,AE21,AG21)/4</f>
        <v>2.9577218870541266E-2</v>
      </c>
      <c r="AJ21" s="120">
        <f t="shared" ref="AJ21:AJ25" si="48">(AA21+AC21)/2</f>
        <v>0.50107358032961369</v>
      </c>
      <c r="AK21" s="119">
        <f t="shared" ref="AK21:AK25" si="49">(AE21+AG21)/2</f>
        <v>-0.44191914258853121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35985.730158290258</v>
      </c>
      <c r="T23" s="179">
        <f>SUM(T7:T22)</f>
        <v>36921.5780759353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0.79926607364510127</v>
      </c>
      <c r="J30" s="232">
        <f>IF(I$32&lt;=1,I30,1-SUM(J6:J29))</f>
        <v>0.39961154535768806</v>
      </c>
      <c r="K30" s="22">
        <f t="shared" si="4"/>
        <v>0.47410426400996258</v>
      </c>
      <c r="L30" s="22">
        <f>IF(L124=L119,0,IF(K30="",0,(L119-L124)/(B119-B124)*K30))</f>
        <v>0.12751021177778496</v>
      </c>
      <c r="M30" s="175">
        <f t="shared" si="6"/>
        <v>0.39961154535768806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1.5984461814307522</v>
      </c>
      <c r="Z30" s="122">
        <f>IF($Y30=0,0,AA30/($Y$30))</f>
        <v>-0.43771185981754529</v>
      </c>
      <c r="AA30" s="187">
        <f>IF(AA79*4/$I$83+SUM(AA6:AA29)&lt;1,AA79*4/$I$83,1-SUM(AA6:AA29))</f>
        <v>-0.69965885089230795</v>
      </c>
      <c r="AB30" s="122">
        <f>IF($Y30=0,0,AC30/($Y$30))</f>
        <v>-0.43848042606432702</v>
      </c>
      <c r="AC30" s="187">
        <f>IF(AC79*4/$I$83+SUM(AC6:AC29)&lt;1,AC79*4/$I$83,1-SUM(AC6:AC29))</f>
        <v>-0.70088736267465279</v>
      </c>
      <c r="AD30" s="122">
        <f>IF($Y30=0,0,AE30/($Y$30))</f>
        <v>-0.43848042606432702</v>
      </c>
      <c r="AE30" s="187">
        <f>IF(AE79*4/$I$83+SUM(AE6:AE29)&lt;1,AE79*4/$I$83,1-SUM(AE6:AE29))</f>
        <v>-0.70088736267465279</v>
      </c>
      <c r="AF30" s="122">
        <f>IF($Y30=0,0,AG30/($Y$30))</f>
        <v>-0.19253922709418433</v>
      </c>
      <c r="AG30" s="187">
        <f>IF(AG79*4/$I$83+SUM(AG6:AG29)&lt;1,AG79*4/$I$83,1-SUM(AG6:AG29))</f>
        <v>-0.30776359232432737</v>
      </c>
      <c r="AH30" s="123">
        <f t="shared" si="12"/>
        <v>-1.5072119390403835</v>
      </c>
      <c r="AI30" s="183">
        <f t="shared" si="13"/>
        <v>-0.60229929214148525</v>
      </c>
      <c r="AJ30" s="120">
        <f t="shared" si="14"/>
        <v>-0.70027310678348043</v>
      </c>
      <c r="AK30" s="119">
        <f t="shared" si="15"/>
        <v>-0.50432547749949008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0.11050123287203995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4747.6571898200564</v>
      </c>
      <c r="T31" s="235">
        <f>IF(T25&gt;T$23,T25-T$23,0)</f>
        <v>3811.8092721750145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0.50757283919929408</v>
      </c>
      <c r="AB31" s="131"/>
      <c r="AC31" s="133">
        <f>1-AC32+IF($Y32&lt;0,$Y32/4,0)</f>
        <v>0.52705987822310707</v>
      </c>
      <c r="AD31" s="134"/>
      <c r="AE31" s="133">
        <f>1-AE32+IF($Y32&lt;0,$Y32/4,0)</f>
        <v>0.47579005156376786</v>
      </c>
      <c r="AF31" s="134"/>
      <c r="AG31" s="133">
        <f>1-AG32+IF($Y32&lt;0,$Y32/4,0)</f>
        <v>2.4972205810105241</v>
      </c>
      <c r="AH31" s="123"/>
      <c r="AI31" s="182">
        <f>SUM(AA31,AC31,AE31,AG31)/4</f>
        <v>1.0019108374991732</v>
      </c>
      <c r="AJ31" s="135">
        <f t="shared" si="14"/>
        <v>0.51731635871120063</v>
      </c>
      <c r="AK31" s="136">
        <f t="shared" si="15"/>
        <v>1.486505316287146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1.4099613947180951</v>
      </c>
      <c r="J32" s="17"/>
      <c r="L32" s="22">
        <f>SUM(L6:L30)</f>
        <v>0.88949876712796005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25208.857189820061</v>
      </c>
      <c r="T32" s="235">
        <f t="shared" si="50"/>
        <v>24273.009272175019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0.49242716080070592</v>
      </c>
      <c r="AB32" s="137"/>
      <c r="AC32" s="139">
        <f>SUM(AC6:AC30)</f>
        <v>0.47294012177689293</v>
      </c>
      <c r="AD32" s="137"/>
      <c r="AE32" s="139">
        <f>SUM(AE6:AE30)</f>
        <v>0.52420994843623214</v>
      </c>
      <c r="AF32" s="137"/>
      <c r="AG32" s="139">
        <f>SUM(AG6:AG30)</f>
        <v>-1.4972205810105241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0.31924062901804223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3811.8092721750127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5.8999999999999995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884.99999999999989</v>
      </c>
      <c r="K49" s="40">
        <f t="shared" si="54"/>
        <v>0</v>
      </c>
      <c r="L49" s="22">
        <f t="shared" si="55"/>
        <v>0</v>
      </c>
      <c r="M49" s="24">
        <f t="shared" si="56"/>
        <v>2.0598161294076572E-2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221.24999999999997</v>
      </c>
      <c r="AB49" s="116">
        <v>0.25</v>
      </c>
      <c r="AC49" s="147">
        <f t="shared" si="65"/>
        <v>221.24999999999997</v>
      </c>
      <c r="AD49" s="116">
        <v>0.25</v>
      </c>
      <c r="AE49" s="147">
        <f t="shared" si="66"/>
        <v>221.24999999999997</v>
      </c>
      <c r="AF49" s="122">
        <f t="shared" si="57"/>
        <v>0.25</v>
      </c>
      <c r="AG49" s="147">
        <f t="shared" si="60"/>
        <v>221.24999999999997</v>
      </c>
      <c r="AH49" s="123">
        <f t="shared" si="61"/>
        <v>1</v>
      </c>
      <c r="AI49" s="112">
        <f t="shared" si="61"/>
        <v>884.99999999999989</v>
      </c>
      <c r="AJ49" s="148">
        <f t="shared" si="62"/>
        <v>442.49999999999994</v>
      </c>
      <c r="AK49" s="147">
        <f t="shared" si="63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0</v>
      </c>
      <c r="F51" s="26">
        <v>1.18</v>
      </c>
      <c r="G51" s="22">
        <f t="shared" si="59"/>
        <v>1.65</v>
      </c>
      <c r="H51" s="24">
        <f t="shared" si="69"/>
        <v>0</v>
      </c>
      <c r="I51" s="39">
        <f t="shared" si="70"/>
        <v>0</v>
      </c>
      <c r="J51" s="38">
        <f t="shared" si="71"/>
        <v>0</v>
      </c>
      <c r="K51" s="40">
        <f t="shared" si="72"/>
        <v>0.36587920400325846</v>
      </c>
      <c r="L51" s="22">
        <f t="shared" si="73"/>
        <v>0</v>
      </c>
      <c r="M51" s="24">
        <f t="shared" si="74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29703.3</v>
      </c>
      <c r="J65" s="39">
        <f>SUM(J37:J64)</f>
        <v>29703.300000000003</v>
      </c>
      <c r="K65" s="40">
        <f>SUM(K37:K64)</f>
        <v>1</v>
      </c>
      <c r="L65" s="22">
        <f>SUM(L37:L64)</f>
        <v>0.67187943675084372</v>
      </c>
      <c r="M65" s="24">
        <f>SUM(M37:M64)</f>
        <v>0.6913371348772257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227.14999999999998</v>
      </c>
      <c r="AB65" s="137"/>
      <c r="AC65" s="153">
        <f>SUM(AC37:AC64)</f>
        <v>221.24999999999997</v>
      </c>
      <c r="AD65" s="137"/>
      <c r="AE65" s="153">
        <f>SUM(AE37:AE64)</f>
        <v>221.24999999999997</v>
      </c>
      <c r="AF65" s="137"/>
      <c r="AG65" s="153">
        <f>SUM(AG37:AG64)</f>
        <v>2109.25</v>
      </c>
      <c r="AH65" s="137"/>
      <c r="AI65" s="153">
        <f>SUM(AI37:AI64)</f>
        <v>2778.9</v>
      </c>
      <c r="AJ65" s="153">
        <f>SUM(AJ37:AJ64)</f>
        <v>448.39999999999992</v>
      </c>
      <c r="AK65" s="153">
        <f>SUM(AK37:AK64)</f>
        <v>2330.5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0.40358431281275459</v>
      </c>
      <c r="L72" s="22">
        <f t="shared" si="77"/>
        <v>1.3483562924368562E-2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15354.08907680367</v>
      </c>
      <c r="J74" s="51">
        <f t="shared" si="76"/>
        <v>7676.6316823120142</v>
      </c>
      <c r="K74" s="40">
        <f>B74/B$76</f>
        <v>0.12847179079574264</v>
      </c>
      <c r="L74" s="22">
        <f t="shared" si="77"/>
        <v>5.7011547284801734E-2</v>
      </c>
      <c r="M74" s="24">
        <f>J74/B$76</f>
        <v>0.1786717486864195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-3360.1527307990832</v>
      </c>
      <c r="AB74" s="156"/>
      <c r="AC74" s="147">
        <f>AC30*$I$83/4</f>
        <v>-3366.0527307990833</v>
      </c>
      <c r="AD74" s="156"/>
      <c r="AE74" s="147">
        <f>AE30*$I$83/4</f>
        <v>-3366.0527307990833</v>
      </c>
      <c r="AF74" s="156"/>
      <c r="AG74" s="147">
        <f>AG30*$I$83/4</f>
        <v>-1478.0527307990833</v>
      </c>
      <c r="AH74" s="155"/>
      <c r="AI74" s="147">
        <f>SUM(AA74,AC74,AE74,AG74)</f>
        <v>-11570.310923196334</v>
      </c>
      <c r="AJ74" s="148">
        <f>(AA74+AC74)</f>
        <v>-6726.2054615981669</v>
      </c>
      <c r="AK74" s="147">
        <f>(AE74+AG74)</f>
        <v>-4844.1054615981666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29703.300000000003</v>
      </c>
      <c r="J76" s="51">
        <f t="shared" si="76"/>
        <v>29703.300000000003</v>
      </c>
      <c r="K76" s="40">
        <f>SUM(K70:K75)</f>
        <v>1.0183147569397746</v>
      </c>
      <c r="L76" s="22">
        <f>SUM(L70:L75)</f>
        <v>0.67187943675084372</v>
      </c>
      <c r="M76" s="24">
        <f>SUM(M70:M75)</f>
        <v>0.78005607522809295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227.14999999999998</v>
      </c>
      <c r="AB76" s="137"/>
      <c r="AC76" s="153">
        <f>AC65</f>
        <v>221.24999999999997</v>
      </c>
      <c r="AD76" s="137"/>
      <c r="AE76" s="153">
        <f>AE65</f>
        <v>221.24999999999997</v>
      </c>
      <c r="AF76" s="137"/>
      <c r="AG76" s="153">
        <f>AG65</f>
        <v>2109.25</v>
      </c>
      <c r="AH76" s="137"/>
      <c r="AI76" s="153">
        <f>SUM(AA76,AC76,AE76,AG76)</f>
        <v>2778.9</v>
      </c>
      <c r="AJ76" s="154">
        <f>SUM(AA76,AC76)</f>
        <v>448.4</v>
      </c>
      <c r="AK76" s="154">
        <f>SUM(AE76,AG76)</f>
        <v>2330.5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76"/>
        <v>3811.8092721750127</v>
      </c>
      <c r="K77" s="40"/>
      <c r="L77" s="22">
        <f>-(L131*G$37*F$9/F$7)/B$130</f>
        <v>-0.25392634436451</v>
      </c>
      <c r="M77" s="24">
        <f>-J77/B$76</f>
        <v>-8.8718940350867276E-2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2437.6483761190457</v>
      </c>
      <c r="AB77" s="112"/>
      <c r="AC77" s="111">
        <f>AC31*$I$83/4</f>
        <v>2531.2360257393493</v>
      </c>
      <c r="AD77" s="112"/>
      <c r="AE77" s="111">
        <f>AE31*$I$83/4</f>
        <v>2285.0096715136224</v>
      </c>
      <c r="AF77" s="112"/>
      <c r="AG77" s="111">
        <f>AG31*$I$83/4</f>
        <v>11993.04853213633</v>
      </c>
      <c r="AH77" s="110"/>
      <c r="AI77" s="154">
        <f>SUM(AA77,AC77,AE77,AG77)</f>
        <v>19246.942605508346</v>
      </c>
      <c r="AJ77" s="153">
        <f>SUM(AA77,AC77)</f>
        <v>4968.884401858395</v>
      </c>
      <c r="AK77" s="160">
        <f>SUM(AE77,AG77)</f>
        <v>14278.058203649953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-3360.1527307990832</v>
      </c>
      <c r="AB79" s="112"/>
      <c r="AC79" s="112">
        <f>AA79-AA74+AC65-AC70</f>
        <v>-3366.0527307990833</v>
      </c>
      <c r="AD79" s="112"/>
      <c r="AE79" s="112">
        <f>AC79-AC74+AE65-AE70</f>
        <v>-3366.0527307990833</v>
      </c>
      <c r="AF79" s="112"/>
      <c r="AG79" s="112">
        <f>AE79-AE74+AG65-AG70</f>
        <v>-1478.0527307990833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0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4.606919183792875E-2</v>
      </c>
      <c r="K103" s="22">
        <f t="shared" si="91"/>
        <v>0</v>
      </c>
      <c r="L103" s="22">
        <f t="shared" si="92"/>
        <v>0</v>
      </c>
      <c r="M103" s="228">
        <f t="shared" si="93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</v>
      </c>
      <c r="I105" s="22">
        <f t="shared" si="89"/>
        <v>0</v>
      </c>
      <c r="J105" s="24">
        <f t="shared" si="90"/>
        <v>0</v>
      </c>
      <c r="K105" s="22">
        <f t="shared" si="91"/>
        <v>1.3502177377312949</v>
      </c>
      <c r="L105" s="22">
        <f t="shared" si="92"/>
        <v>0</v>
      </c>
      <c r="M105" s="228">
        <f t="shared" si="9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1.5462226281576827</v>
      </c>
      <c r="J119" s="24">
        <f>SUM(J91:J118)</f>
        <v>1.5462226281576827</v>
      </c>
      <c r="K119" s="22">
        <f>SUM(K91:K118)</f>
        <v>3.6903374746580844</v>
      </c>
      <c r="L119" s="22">
        <f>SUM(L91:L118)</f>
        <v>1.5027041599356392</v>
      </c>
      <c r="M119" s="57">
        <f t="shared" si="81"/>
        <v>1.5462226281576827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3.0156907607095551E-2</v>
      </c>
      <c r="M126" s="241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0.79926607364510127</v>
      </c>
      <c r="J128" s="229">
        <f>(J30)</f>
        <v>0.39961154535768806</v>
      </c>
      <c r="K128" s="29">
        <f>(B128)</f>
        <v>0.47410426400996258</v>
      </c>
      <c r="L128" s="29">
        <f>IF(L124=L119,0,(L119-L124)/(B119-B124)*K128)</f>
        <v>0.12751021177778496</v>
      </c>
      <c r="M128" s="241">
        <f t="shared" si="94"/>
        <v>0.39961154535768806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1.5462226281576827</v>
      </c>
      <c r="J130" s="229">
        <f>(J119)</f>
        <v>1.5462226281576827</v>
      </c>
      <c r="K130" s="29">
        <f>(B130)</f>
        <v>3.6903374746580844</v>
      </c>
      <c r="L130" s="29">
        <f>(L119)</f>
        <v>1.5027041599356392</v>
      </c>
      <c r="M130" s="241">
        <f t="shared" si="94"/>
        <v>1.5462226281576827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0.1984259577507641</v>
      </c>
      <c r="K131" s="29"/>
      <c r="L131" s="29">
        <f>IF(I131&lt;SUM(L126:L127),0,I131-(SUM(L126:L127)))</f>
        <v>0.56792357843108188</v>
      </c>
      <c r="M131" s="238">
        <f>IF(I131&lt;SUM(M126:M127),0,I131-(SUM(M126:M127)))</f>
        <v>0.59808048603817743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3915.2800501660763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1592.0102715036958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1.5151455964102558E-2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1.5151455964102558E-2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6296.2643927084928</v>
      </c>
      <c r="U11" s="224">
        <v>5</v>
      </c>
      <c r="V11" s="56"/>
      <c r="W11" s="115"/>
      <c r="X11" s="118">
        <f>Poor!X11</f>
        <v>1</v>
      </c>
      <c r="Y11" s="183">
        <f t="shared" si="9"/>
        <v>6.0605823856410231E-2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6.0605823856410231E-2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1.5151455964102558E-2</v>
      </c>
      <c r="AJ11" s="120">
        <f t="shared" si="14"/>
        <v>3.0302911928205115E-2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506.07046574650406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1.2045941158733244E-3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1.2045941158733244E-3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4.8183764634932976E-3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4.8183764634932976E-3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1.2045941158733244E-3</v>
      </c>
      <c r="AJ14" s="120">
        <f t="shared" si="14"/>
        <v>2.4091882317466488E-3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3.0996089031035103E-2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3.0996089031035103E-2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0.12398435612414041</v>
      </c>
      <c r="Z15" s="156">
        <f>Poor!Z15</f>
        <v>0.25</v>
      </c>
      <c r="AA15" s="121">
        <f t="shared" si="16"/>
        <v>3.0996089031035103E-2</v>
      </c>
      <c r="AB15" s="156">
        <f>Poor!AB15</f>
        <v>0.25</v>
      </c>
      <c r="AC15" s="121">
        <f t="shared" si="7"/>
        <v>3.0996089031035103E-2</v>
      </c>
      <c r="AD15" s="156">
        <f>Poor!AD15</f>
        <v>0.25</v>
      </c>
      <c r="AE15" s="121">
        <f t="shared" si="8"/>
        <v>3.0996089031035103E-2</v>
      </c>
      <c r="AF15" s="122">
        <f t="shared" si="10"/>
        <v>0.25</v>
      </c>
      <c r="AG15" s="121">
        <f t="shared" si="11"/>
        <v>3.0996089031035103E-2</v>
      </c>
      <c r="AH15" s="123">
        <f t="shared" si="12"/>
        <v>1</v>
      </c>
      <c r="AI15" s="183">
        <f t="shared" si="13"/>
        <v>3.0996089031035103E-2</v>
      </c>
      <c r="AJ15" s="120">
        <f t="shared" si="14"/>
        <v>3.0996089031035103E-2</v>
      </c>
      <c r="AK15" s="119">
        <f t="shared" si="15"/>
        <v>3.0996089031035103E-2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4.8097962050861869E-4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4.8097962050861869E-4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1.9239184820344748E-3</v>
      </c>
      <c r="Z17" s="156">
        <f>Poor!Z17</f>
        <v>0.29409999999999997</v>
      </c>
      <c r="AA17" s="121">
        <f t="shared" si="16"/>
        <v>5.6582442556633893E-4</v>
      </c>
      <c r="AB17" s="156">
        <f>Poor!AB17</f>
        <v>0.17649999999999999</v>
      </c>
      <c r="AC17" s="121">
        <f t="shared" si="7"/>
        <v>3.3957161207908478E-4</v>
      </c>
      <c r="AD17" s="156">
        <f>Poor!AD17</f>
        <v>0.23530000000000001</v>
      </c>
      <c r="AE17" s="121">
        <f t="shared" si="8"/>
        <v>4.5269801882271191E-4</v>
      </c>
      <c r="AF17" s="122">
        <f t="shared" si="10"/>
        <v>0.29410000000000003</v>
      </c>
      <c r="AG17" s="121">
        <f t="shared" si="11"/>
        <v>5.6582442556633904E-4</v>
      </c>
      <c r="AH17" s="123">
        <f t="shared" si="12"/>
        <v>1</v>
      </c>
      <c r="AI17" s="183">
        <f t="shared" si="13"/>
        <v>4.8097962050861864E-4</v>
      </c>
      <c r="AJ17" s="120">
        <f t="shared" si="14"/>
        <v>4.5269801882271186E-4</v>
      </c>
      <c r="AK17" s="119">
        <f t="shared" si="15"/>
        <v>5.0926122219452548E-4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2.7713109576328779E-2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2.7713109576328779E-2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2.634379363840186E-2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2.634379363840186E-2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46032.222820843912</v>
      </c>
      <c r="T23" s="179">
        <f>SUM(T7:T22)</f>
        <v>45750.899550485883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1.262762923829228E-2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1.262762923829228E-2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5.0510516953169118E-2</v>
      </c>
      <c r="Z27" s="156">
        <f>Poor!Z27</f>
        <v>0.25</v>
      </c>
      <c r="AA27" s="121">
        <f t="shared" si="16"/>
        <v>1.262762923829228E-2</v>
      </c>
      <c r="AB27" s="156">
        <f>Poor!AB27</f>
        <v>0.25</v>
      </c>
      <c r="AC27" s="121">
        <f t="shared" si="7"/>
        <v>1.262762923829228E-2</v>
      </c>
      <c r="AD27" s="156">
        <f>Poor!AD27</f>
        <v>0.25</v>
      </c>
      <c r="AE27" s="121">
        <f t="shared" si="8"/>
        <v>1.262762923829228E-2</v>
      </c>
      <c r="AF27" s="122">
        <f t="shared" si="10"/>
        <v>0.25</v>
      </c>
      <c r="AG27" s="121">
        <f t="shared" si="11"/>
        <v>1.262762923829228E-2</v>
      </c>
      <c r="AH27" s="123">
        <f t="shared" si="12"/>
        <v>1</v>
      </c>
      <c r="AI27" s="183">
        <f t="shared" si="13"/>
        <v>1.262762923829228E-2</v>
      </c>
      <c r="AJ27" s="120">
        <f t="shared" si="14"/>
        <v>1.262762923829228E-2</v>
      </c>
      <c r="AK27" s="119">
        <f t="shared" si="15"/>
        <v>1.262762923829228E-2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9.6662825585157722E-2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9.6662825585157722E-2</v>
      </c>
      <c r="N28" s="230"/>
      <c r="O28" s="2"/>
      <c r="P28" s="22"/>
      <c r="U28" s="56"/>
      <c r="V28" s="56"/>
      <c r="W28" s="110"/>
      <c r="X28" s="118"/>
      <c r="Y28" s="183">
        <f t="shared" si="9"/>
        <v>0.38665130234063089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0.19332565117031544</v>
      </c>
      <c r="AF28" s="122">
        <f t="shared" si="10"/>
        <v>0.5</v>
      </c>
      <c r="AG28" s="121">
        <f t="shared" si="11"/>
        <v>0.19332565117031544</v>
      </c>
      <c r="AH28" s="123">
        <f t="shared" si="12"/>
        <v>1</v>
      </c>
      <c r="AI28" s="183">
        <f t="shared" si="13"/>
        <v>9.6662825585157722E-2</v>
      </c>
      <c r="AJ28" s="120">
        <f t="shared" si="14"/>
        <v>0</v>
      </c>
      <c r="AK28" s="119">
        <f t="shared" si="15"/>
        <v>0.19332565117031544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0.29047403832986585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0.29047403832986585</v>
      </c>
      <c r="N29" s="230"/>
      <c r="P29" s="22"/>
      <c r="V29" s="56"/>
      <c r="W29" s="110"/>
      <c r="X29" s="118"/>
      <c r="Y29" s="183">
        <f t="shared" si="9"/>
        <v>1.1618961533194634</v>
      </c>
      <c r="Z29" s="156">
        <f>Poor!Z29</f>
        <v>0.25</v>
      </c>
      <c r="AA29" s="121">
        <f t="shared" si="16"/>
        <v>0.29047403832986585</v>
      </c>
      <c r="AB29" s="156">
        <f>Poor!AB29</f>
        <v>0.25</v>
      </c>
      <c r="AC29" s="121">
        <f t="shared" si="7"/>
        <v>0.29047403832986585</v>
      </c>
      <c r="AD29" s="156">
        <f>Poor!AD29</f>
        <v>0.25</v>
      </c>
      <c r="AE29" s="121">
        <f t="shared" si="8"/>
        <v>0.29047403832986585</v>
      </c>
      <c r="AF29" s="122">
        <f t="shared" si="10"/>
        <v>0.25</v>
      </c>
      <c r="AG29" s="121">
        <f t="shared" si="11"/>
        <v>0.29047403832986585</v>
      </c>
      <c r="AH29" s="123">
        <f t="shared" si="12"/>
        <v>1</v>
      </c>
      <c r="AI29" s="183">
        <f t="shared" si="13"/>
        <v>0.29047403832986585</v>
      </c>
      <c r="AJ29" s="120">
        <f t="shared" si="14"/>
        <v>0.29047403832986585</v>
      </c>
      <c r="AK29" s="119">
        <f t="shared" si="15"/>
        <v>0.29047403832986585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1.102211353057081</v>
      </c>
      <c r="J30" s="232">
        <f>IF(I$32&lt;=1,I30,1-SUM(J6:J29))</f>
        <v>0.1712103075228617</v>
      </c>
      <c r="K30" s="22">
        <f t="shared" si="4"/>
        <v>0.44088098929016184</v>
      </c>
      <c r="L30" s="22">
        <f>IF(L124=L119,0,IF(K30="",0,(L119-L124)/(B119-B124)*K30))</f>
        <v>0.14566991114749375</v>
      </c>
      <c r="M30" s="175">
        <f t="shared" si="6"/>
        <v>0.1712103075228617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0.68484123009144682</v>
      </c>
      <c r="Z30" s="122">
        <f>IF($Y30=0,0,AA30/($Y$30))</f>
        <v>0.19653697783513047</v>
      </c>
      <c r="AA30" s="187">
        <f>IF(AA79*4/$I$84+SUM(AA6:AA29)&lt;1,AA79*4/$I$84,1-SUM(AA6:AA29))</f>
        <v>0.13459662565906616</v>
      </c>
      <c r="AB30" s="122">
        <f>IF($Y30=0,0,AC30/($Y$30))</f>
        <v>0.78002383340769632</v>
      </c>
      <c r="AC30" s="187">
        <f>IF(AC79*4/$I$84+SUM(AC6:AC29)&lt;1,AC79*4/$I$84,1-SUM(AC6:AC29))</f>
        <v>0.53419248157157251</v>
      </c>
      <c r="AD30" s="122">
        <f>IF($Y30=0,0,AE30/($Y$30))</f>
        <v>0.3097322855161706</v>
      </c>
      <c r="AE30" s="187">
        <f>IF(AE79*4/$I$84+SUM(AE6:AE29)&lt;1,AE79*4/$I$84,1-SUM(AE6:AE29))</f>
        <v>0.21211743941192951</v>
      </c>
      <c r="AF30" s="122">
        <f>IF($Y30=0,0,AG30/($Y$30))</f>
        <v>3.8823887937514803E-2</v>
      </c>
      <c r="AG30" s="187">
        <f>IF(AG79*4/$I$84+SUM(AG6:AG29)&lt;1,AG79*4/$I$84,1-SUM(AG6:AG29))</f>
        <v>2.6588199172060123E-2</v>
      </c>
      <c r="AH30" s="123">
        <f t="shared" si="12"/>
        <v>1.3251169846965123</v>
      </c>
      <c r="AI30" s="183">
        <f t="shared" si="13"/>
        <v>0.22687368645365708</v>
      </c>
      <c r="AJ30" s="120">
        <f t="shared" si="14"/>
        <v>0.33439455361531933</v>
      </c>
      <c r="AK30" s="119">
        <f t="shared" si="15"/>
        <v>0.11935281929199482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2.3036683865156338E-3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1.7370136169544832</v>
      </c>
      <c r="J32" s="17"/>
      <c r="L32" s="22">
        <f>SUM(L6:L30)</f>
        <v>0.99769633161348437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15162.364527266407</v>
      </c>
      <c r="T32" s="235">
        <f t="shared" si="24"/>
        <v>15443.687797624436</v>
      </c>
      <c r="U32" s="56"/>
      <c r="V32" s="56"/>
      <c r="W32" s="110"/>
      <c r="X32" s="118"/>
      <c r="Y32" s="115">
        <f>SUM(Y6:Y31)</f>
        <v>3.7773464842768183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0.10697119673941692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5512.5287854169856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0.10368132683977177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5512.5287854169856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5512.5287854169856</v>
      </c>
      <c r="AJ39" s="148">
        <f t="shared" si="38"/>
        <v>5512.5287854169856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783.73560729150722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1.4740738927390671E-2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783.73560729150722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783.73560729150722</v>
      </c>
      <c r="AJ40" s="148">
        <f t="shared" si="38"/>
        <v>783.73560729150722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39.980774034814694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7.5197062208122727E-4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9.9951935087036734</v>
      </c>
      <c r="AB43" s="156">
        <f>Poor!AB43</f>
        <v>0.25</v>
      </c>
      <c r="AC43" s="147">
        <f t="shared" si="41"/>
        <v>9.9951935087036734</v>
      </c>
      <c r="AD43" s="156">
        <f>Poor!AD43</f>
        <v>0.25</v>
      </c>
      <c r="AE43" s="147">
        <f t="shared" si="42"/>
        <v>9.9951935087036734</v>
      </c>
      <c r="AF43" s="122">
        <f t="shared" si="29"/>
        <v>0.25</v>
      </c>
      <c r="AG43" s="147">
        <f t="shared" si="36"/>
        <v>9.9951935087036734</v>
      </c>
      <c r="AH43" s="123">
        <f t="shared" si="37"/>
        <v>1</v>
      </c>
      <c r="AI43" s="112">
        <f t="shared" si="37"/>
        <v>39.980774034814694</v>
      </c>
      <c r="AJ43" s="148">
        <f t="shared" si="38"/>
        <v>19.990387017407347</v>
      </c>
      <c r="AK43" s="147">
        <f t="shared" si="39"/>
        <v>19.990387017407347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43.758411359768573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8.2302157989333003E-4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10.939602839942143</v>
      </c>
      <c r="AB44" s="156">
        <f>Poor!AB44</f>
        <v>0.25</v>
      </c>
      <c r="AC44" s="147">
        <f t="shared" si="41"/>
        <v>10.939602839942143</v>
      </c>
      <c r="AD44" s="156">
        <f>Poor!AD44</f>
        <v>0.25</v>
      </c>
      <c r="AE44" s="147">
        <f t="shared" si="42"/>
        <v>10.939602839942143</v>
      </c>
      <c r="AF44" s="122">
        <f t="shared" si="29"/>
        <v>0.25</v>
      </c>
      <c r="AG44" s="147">
        <f t="shared" si="36"/>
        <v>10.939602839942143</v>
      </c>
      <c r="AH44" s="123">
        <f t="shared" si="37"/>
        <v>1</v>
      </c>
      <c r="AI44" s="112">
        <f t="shared" si="37"/>
        <v>43.758411359768573</v>
      </c>
      <c r="AJ44" s="148">
        <f t="shared" si="38"/>
        <v>21.879205679884286</v>
      </c>
      <c r="AK44" s="147">
        <f t="shared" si="39"/>
        <v>21.879205679884286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62.512016228240817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1.1757451141333286E-3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15.628004057060204</v>
      </c>
      <c r="AB45" s="156">
        <f>Poor!AB45</f>
        <v>0.25</v>
      </c>
      <c r="AC45" s="147">
        <f t="shared" si="41"/>
        <v>15.628004057060204</v>
      </c>
      <c r="AD45" s="156">
        <f>Poor!AD45</f>
        <v>0.25</v>
      </c>
      <c r="AE45" s="147">
        <f t="shared" si="42"/>
        <v>15.628004057060204</v>
      </c>
      <c r="AF45" s="122">
        <f t="shared" si="29"/>
        <v>0.25</v>
      </c>
      <c r="AG45" s="147">
        <f t="shared" si="36"/>
        <v>15.628004057060204</v>
      </c>
      <c r="AH45" s="123">
        <f t="shared" si="37"/>
        <v>1</v>
      </c>
      <c r="AI45" s="112">
        <f t="shared" si="37"/>
        <v>62.512016228240817</v>
      </c>
      <c r="AJ45" s="148">
        <f t="shared" si="38"/>
        <v>31.256008114120409</v>
      </c>
      <c r="AK45" s="147">
        <f t="shared" si="39"/>
        <v>31.256008114120409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253.79878588665767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4.7735251633813135E-3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63.449696471664417</v>
      </c>
      <c r="AB46" s="156">
        <f>Poor!AB46</f>
        <v>0.25</v>
      </c>
      <c r="AC46" s="147">
        <f t="shared" si="41"/>
        <v>63.449696471664417</v>
      </c>
      <c r="AD46" s="156">
        <f>Poor!AD46</f>
        <v>0.25</v>
      </c>
      <c r="AE46" s="147">
        <f t="shared" si="42"/>
        <v>63.449696471664417</v>
      </c>
      <c r="AF46" s="122">
        <f t="shared" si="29"/>
        <v>0.25</v>
      </c>
      <c r="AG46" s="147">
        <f t="shared" si="36"/>
        <v>63.449696471664417</v>
      </c>
      <c r="AH46" s="123">
        <f t="shared" si="37"/>
        <v>1</v>
      </c>
      <c r="AI46" s="112">
        <f t="shared" si="37"/>
        <v>253.79878588665767</v>
      </c>
      <c r="AJ46" s="148">
        <f t="shared" si="38"/>
        <v>126.89939294332883</v>
      </c>
      <c r="AK46" s="147">
        <f t="shared" si="39"/>
        <v>126.89939294332883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1093.960283994214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2.0575539497333244E-2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273.49007099855351</v>
      </c>
      <c r="AB47" s="156">
        <f>Poor!AB47</f>
        <v>0.25</v>
      </c>
      <c r="AC47" s="147">
        <f t="shared" si="41"/>
        <v>273.49007099855351</v>
      </c>
      <c r="AD47" s="156">
        <f>Poor!AD47</f>
        <v>0.25</v>
      </c>
      <c r="AE47" s="147">
        <f t="shared" si="42"/>
        <v>273.49007099855351</v>
      </c>
      <c r="AF47" s="122">
        <f t="shared" si="29"/>
        <v>0.25</v>
      </c>
      <c r="AG47" s="147">
        <f t="shared" si="36"/>
        <v>273.49007099855351</v>
      </c>
      <c r="AH47" s="123">
        <f t="shared" si="37"/>
        <v>1</v>
      </c>
      <c r="AI47" s="112">
        <f t="shared" si="37"/>
        <v>1093.960283994214</v>
      </c>
      <c r="AJ47" s="148">
        <f t="shared" si="38"/>
        <v>546.98014199710701</v>
      </c>
      <c r="AK47" s="147">
        <f t="shared" si="39"/>
        <v>546.98014199710701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0.29566656635570265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35522.949999999997</v>
      </c>
      <c r="J65" s="39">
        <f>SUM(J37:J64)</f>
        <v>37509.22466421219</v>
      </c>
      <c r="K65" s="40">
        <f>SUM(K37:K64)</f>
        <v>1</v>
      </c>
      <c r="L65" s="22">
        <f>SUM(L37:L64)</f>
        <v>0.70995993830875714</v>
      </c>
      <c r="M65" s="24">
        <f>SUM(M37:M64)</f>
        <v>0.7054849658481076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14092.866960584415</v>
      </c>
      <c r="AB65" s="137"/>
      <c r="AC65" s="153">
        <f>SUM(AC37:AC64)</f>
        <v>7796.6025678759233</v>
      </c>
      <c r="AD65" s="137"/>
      <c r="AE65" s="153">
        <f>SUM(AE37:AE64)</f>
        <v>7796.6025678759233</v>
      </c>
      <c r="AF65" s="137"/>
      <c r="AG65" s="153">
        <f>SUM(AG37:AG64)</f>
        <v>7823.1525678759235</v>
      </c>
      <c r="AH65" s="137"/>
      <c r="AI65" s="153">
        <f>SUM(AI37:AI64)</f>
        <v>37509.22466421219</v>
      </c>
      <c r="AJ65" s="153">
        <f>SUM(AJ37:AJ64)</f>
        <v>21889.46952846034</v>
      </c>
      <c r="AK65" s="153">
        <f>SUM(AK37:AK64)</f>
        <v>15619.755135751846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8381.756837863526</v>
      </c>
      <c r="K72" s="40">
        <f t="shared" si="47"/>
        <v>0.32613602166716821</v>
      </c>
      <c r="L72" s="22">
        <f t="shared" si="45"/>
        <v>0.17134966877073018</v>
      </c>
      <c r="M72" s="24">
        <f t="shared" si="48"/>
        <v>0.15764664531040337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21173.739076803668</v>
      </c>
      <c r="J74" s="51">
        <f t="shared" si="44"/>
        <v>3288.9902364856616</v>
      </c>
      <c r="K74" s="40">
        <f>B74/B$76</f>
        <v>9.6542775755527083E-2</v>
      </c>
      <c r="L74" s="22">
        <f t="shared" si="45"/>
        <v>5.2632282969734018E-2</v>
      </c>
      <c r="M74" s="24">
        <f>J74/B$76</f>
        <v>6.1860333969411332E-2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984.03999102220632</v>
      </c>
      <c r="AB74" s="156"/>
      <c r="AC74" s="147">
        <f>AC30*$I$84/4</f>
        <v>3905.497349549732</v>
      </c>
      <c r="AD74" s="156"/>
      <c r="AE74" s="147">
        <f>AE30*$I$84/4</f>
        <v>1550.7969992003195</v>
      </c>
      <c r="AF74" s="156"/>
      <c r="AG74" s="147">
        <f>AG30*$I$84/4</f>
        <v>194.38712632249658</v>
      </c>
      <c r="AH74" s="155"/>
      <c r="AI74" s="147">
        <f>SUM(AA74,AC74,AE74,AG74)</f>
        <v>6634.7214660947548</v>
      </c>
      <c r="AJ74" s="148">
        <f>(AA74+AC74)</f>
        <v>4889.5373405719383</v>
      </c>
      <c r="AK74" s="147">
        <f>(AE74+AG74)</f>
        <v>1745.1841255228162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13629.682687471066</v>
      </c>
      <c r="AB75" s="158"/>
      <c r="AC75" s="149">
        <f>AA75+AC65-SUM(AC70,AC74)</f>
        <v>13933.485174998174</v>
      </c>
      <c r="AD75" s="158"/>
      <c r="AE75" s="149">
        <f>AC75+AE65-SUM(AE70,AE74)</f>
        <v>16591.988012874695</v>
      </c>
      <c r="AF75" s="158"/>
      <c r="AG75" s="149">
        <f>IF(SUM(AG6:AG29)+((AG65-AG70-$J$75)*4/I$83)&lt;1,0,AG65-AG70-$J$75-(1-SUM(AG6:AG29))*I$83/4)</f>
        <v>4108.1584487079408</v>
      </c>
      <c r="AH75" s="134"/>
      <c r="AI75" s="149">
        <f>AI76-SUM(AI70,AI74)</f>
        <v>16525.292274921096</v>
      </c>
      <c r="AJ75" s="151">
        <f>AJ76-SUM(AJ70,AJ74)</f>
        <v>9825.3267262902318</v>
      </c>
      <c r="AK75" s="149">
        <f>AJ75+AK76-SUM(AK70,AK74)</f>
        <v>16525.292274921092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35522.949999999997</v>
      </c>
      <c r="J76" s="51">
        <f t="shared" si="44"/>
        <v>37509.22466421219</v>
      </c>
      <c r="K76" s="40">
        <f>SUM(K70:K75)</f>
        <v>0.99999999999999967</v>
      </c>
      <c r="L76" s="22">
        <f>SUM(L70:L75)</f>
        <v>0.70995993830875725</v>
      </c>
      <c r="M76" s="24">
        <f>SUM(M70:M75)</f>
        <v>0.70548496584810771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14092.866960584415</v>
      </c>
      <c r="AB76" s="137"/>
      <c r="AC76" s="153">
        <f>AC65</f>
        <v>7796.6025678759233</v>
      </c>
      <c r="AD76" s="137"/>
      <c r="AE76" s="153">
        <f>AE65</f>
        <v>7796.6025678759233</v>
      </c>
      <c r="AF76" s="137"/>
      <c r="AG76" s="153">
        <f>AG65</f>
        <v>7823.1525678759235</v>
      </c>
      <c r="AH76" s="137"/>
      <c r="AI76" s="153">
        <f>SUM(AA76,AC76,AE76,AG76)</f>
        <v>37509.224664212183</v>
      </c>
      <c r="AJ76" s="154">
        <f>SUM(AA76,AC76)</f>
        <v>21889.469528460337</v>
      </c>
      <c r="AK76" s="154">
        <f>SUM(AE76,AG76)</f>
        <v>15619.755135751846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0</v>
      </c>
      <c r="K77" s="40"/>
      <c r="L77" s="22">
        <f>-(L131*G$37*F$9/F$7)/B$130</f>
        <v>-4.4743971514153054E-2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4108.1584487079408</v>
      </c>
      <c r="AB78" s="112"/>
      <c r="AC78" s="112">
        <f>IF(AA75&lt;0,0,AA75)</f>
        <v>13629.682687471066</v>
      </c>
      <c r="AD78" s="112"/>
      <c r="AE78" s="112">
        <f>AC75</f>
        <v>13933.485174998174</v>
      </c>
      <c r="AF78" s="112"/>
      <c r="AG78" s="112">
        <f>AE75</f>
        <v>16591.988012874695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14613.722678493272</v>
      </c>
      <c r="AB79" s="112"/>
      <c r="AC79" s="112">
        <f>AA79-AA74+AC65-AC70</f>
        <v>17838.982524547908</v>
      </c>
      <c r="AD79" s="112"/>
      <c r="AE79" s="112">
        <f>AC79-AC74+AE65-AE70</f>
        <v>18142.785012075015</v>
      </c>
      <c r="AF79" s="112"/>
      <c r="AG79" s="112">
        <f>AE79-AE74+AG65-AG70</f>
        <v>20827.837849951538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0.28695790522879039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0.28695790522879039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4.0797814737319818E-2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4.0797814737319818E-2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2.0812225410607446E-3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2.0812225410607446E-3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2.2778696581425752E-3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2.2778696581425752E-3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3.2540995116322503E-3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3.2540995116322503E-3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1.3211644017226935E-2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1.3211644017226935E-2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5.6946741453564369E-2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5.6946741453564369E-2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</v>
      </c>
      <c r="I105" s="22">
        <f t="shared" si="58"/>
        <v>0</v>
      </c>
      <c r="J105" s="24">
        <f t="shared" si="59"/>
        <v>0</v>
      </c>
      <c r="K105" s="22">
        <f t="shared" si="60"/>
        <v>1.3502177377312949</v>
      </c>
      <c r="L105" s="22">
        <f t="shared" si="61"/>
        <v>0</v>
      </c>
      <c r="M105" s="228">
        <f t="shared" si="62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1.8491679075696623</v>
      </c>
      <c r="J119" s="24">
        <f>SUM(J91:J118)</f>
        <v>1.952564595194983</v>
      </c>
      <c r="K119" s="22">
        <f>SUM(K91:K118)</f>
        <v>4.566690628479483</v>
      </c>
      <c r="L119" s="22">
        <f>SUM(L91:L118)</f>
        <v>1.9649499374972568</v>
      </c>
      <c r="M119" s="57">
        <f t="shared" si="49"/>
        <v>1.952564595194983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0.43631724712136255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0.47424298579900426</v>
      </c>
      <c r="M126" s="57">
        <f t="shared" si="65"/>
        <v>0.43631724712136255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1.102211353057081</v>
      </c>
      <c r="J128" s="229">
        <f>(J30)</f>
        <v>0.1712103075228617</v>
      </c>
      <c r="K128" s="22">
        <f>(B128)</f>
        <v>0.44088098929016184</v>
      </c>
      <c r="L128" s="22">
        <f>IF(L124=L119,0,(L119-L124)/(B119-B124)*K128)</f>
        <v>0.14566991114749375</v>
      </c>
      <c r="M128" s="57">
        <f t="shared" si="63"/>
        <v>0.1712103075228617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1.8491679075696623</v>
      </c>
      <c r="J130" s="229">
        <f>(J119)</f>
        <v>1.952564595194983</v>
      </c>
      <c r="K130" s="22">
        <f>(B130)</f>
        <v>4.566690628479483</v>
      </c>
      <c r="L130" s="22">
        <f>(L119)</f>
        <v>1.9649499374972568</v>
      </c>
      <c r="M130" s="57">
        <f t="shared" si="63"/>
        <v>1.952564595194983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0.12383750023917317</v>
      </c>
      <c r="M131" s="238">
        <f>IF(I131&lt;SUM(M126:M127),0,I131-(SUM(M126:M127)))</f>
        <v>0.16176323891681488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3296.9621455532724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31454.845693784315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-2.541287759499835E-2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-2.541287759499835E-2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-0.1016515103799934</v>
      </c>
      <c r="Z9" s="125">
        <f>IF($Y9=0,0,AA9/$Y9)</f>
        <v>2.0199680871883259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-0.20533280698207954</v>
      </c>
      <c r="AB9" s="125">
        <f>IF($Y9=0,0,AC9/$Y9)</f>
        <v>-1.0199680871883261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0.10368129660208614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0.99999999999999978</v>
      </c>
      <c r="AI9" s="183">
        <f t="shared" si="13"/>
        <v>-2.541287759499835E-2</v>
      </c>
      <c r="AJ9" s="120">
        <f t="shared" si="14"/>
        <v>-5.0825755189996699E-2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2.0681073620769815E-2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2.0681073620769815E-2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33008.245983412002</v>
      </c>
      <c r="U11" s="224">
        <v>5</v>
      </c>
      <c r="V11" s="56"/>
      <c r="W11" s="115"/>
      <c r="X11" s="118">
        <f>Poor!X11</f>
        <v>1</v>
      </c>
      <c r="Y11" s="183">
        <f t="shared" si="9"/>
        <v>8.2724294483079261E-2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8.2724294483079261E-2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2.0681073620769815E-2</v>
      </c>
      <c r="AJ11" s="120">
        <f t="shared" si="14"/>
        <v>4.136214724153963E-2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209.41314308175836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1.7646508400869522E-3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1.7646508400869522E-3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7.058603360347809E-3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7.058603360347809E-3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1.7646508400869522E-3</v>
      </c>
      <c r="AJ14" s="120">
        <f t="shared" si="14"/>
        <v>3.5293016801739045E-3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6.5187787623201682E-2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6.5187787623201682E-2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0.26075115049280673</v>
      </c>
      <c r="Z15" s="156">
        <f>Poor!Z15</f>
        <v>0.25</v>
      </c>
      <c r="AA15" s="121">
        <f t="shared" si="16"/>
        <v>6.5187787623201682E-2</v>
      </c>
      <c r="AB15" s="156">
        <f>Poor!AB15</f>
        <v>0.25</v>
      </c>
      <c r="AC15" s="121">
        <f t="shared" si="7"/>
        <v>6.5187787623201682E-2</v>
      </c>
      <c r="AD15" s="156">
        <f>Poor!AD15</f>
        <v>0.25</v>
      </c>
      <c r="AE15" s="121">
        <f t="shared" si="8"/>
        <v>6.5187787623201682E-2</v>
      </c>
      <c r="AF15" s="122">
        <f t="shared" si="10"/>
        <v>0.25</v>
      </c>
      <c r="AG15" s="121">
        <f t="shared" si="11"/>
        <v>6.5187787623201682E-2</v>
      </c>
      <c r="AH15" s="123">
        <f t="shared" si="12"/>
        <v>1</v>
      </c>
      <c r="AI15" s="183">
        <f t="shared" si="13"/>
        <v>6.5187787623201682E-2</v>
      </c>
      <c r="AJ15" s="120">
        <f t="shared" si="14"/>
        <v>6.5187787623201682E-2</v>
      </c>
      <c r="AK15" s="119">
        <f t="shared" si="15"/>
        <v>6.5187787623201682E-2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5.9431524916729909E-4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5.9431524916729909E-4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2.3772609966691964E-3</v>
      </c>
      <c r="Z17" s="156">
        <f>Poor!Z17</f>
        <v>0.29409999999999997</v>
      </c>
      <c r="AA17" s="121">
        <f t="shared" si="16"/>
        <v>6.9915245912041061E-4</v>
      </c>
      <c r="AB17" s="156">
        <f>Poor!AB17</f>
        <v>0.17649999999999999</v>
      </c>
      <c r="AC17" s="121">
        <f t="shared" si="7"/>
        <v>4.1958656591211313E-4</v>
      </c>
      <c r="AD17" s="156">
        <f>Poor!AD17</f>
        <v>0.23530000000000001</v>
      </c>
      <c r="AE17" s="121">
        <f t="shared" si="8"/>
        <v>5.5936951251626195E-4</v>
      </c>
      <c r="AF17" s="122">
        <f t="shared" si="10"/>
        <v>0.29410000000000003</v>
      </c>
      <c r="AG17" s="121">
        <f t="shared" si="11"/>
        <v>6.9915245912041072E-4</v>
      </c>
      <c r="AH17" s="123">
        <f t="shared" si="12"/>
        <v>1</v>
      </c>
      <c r="AI17" s="183">
        <f t="shared" si="13"/>
        <v>5.9431524916729909E-4</v>
      </c>
      <c r="AJ17" s="120">
        <f t="shared" si="14"/>
        <v>5.5936951251626184E-4</v>
      </c>
      <c r="AK17" s="119">
        <f t="shared" si="15"/>
        <v>6.2926098581833634E-4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2.3788955982416156E-2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2.3788955982416156E-2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1.0901123459906382E-2</v>
      </c>
      <c r="K21" s="22">
        <f t="shared" si="21"/>
        <v>0.01</v>
      </c>
      <c r="L21" s="22">
        <f t="shared" si="22"/>
        <v>0.01</v>
      </c>
      <c r="M21" s="226">
        <f t="shared" si="23"/>
        <v>1.0901123459906382E-2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118857.83113584942</v>
      </c>
      <c r="T23" s="179">
        <f>SUM(T7:T22)</f>
        <v>120327.39280719828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2.8902065818722886E-2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2.8902065818722886E-2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0.11560826327489154</v>
      </c>
      <c r="Z27" s="156">
        <f>Poor!Z27</f>
        <v>0.25</v>
      </c>
      <c r="AA27" s="121">
        <f t="shared" si="16"/>
        <v>2.8902065818722886E-2</v>
      </c>
      <c r="AB27" s="156">
        <f>Poor!AB27</f>
        <v>0.25</v>
      </c>
      <c r="AC27" s="121">
        <f t="shared" si="7"/>
        <v>2.8902065818722886E-2</v>
      </c>
      <c r="AD27" s="156">
        <f>Poor!AD27</f>
        <v>0.25</v>
      </c>
      <c r="AE27" s="121">
        <f t="shared" si="8"/>
        <v>2.8902065818722886E-2</v>
      </c>
      <c r="AF27" s="122">
        <f t="shared" si="10"/>
        <v>0.25</v>
      </c>
      <c r="AG27" s="121">
        <f t="shared" si="11"/>
        <v>2.8902065818722886E-2</v>
      </c>
      <c r="AH27" s="123">
        <f t="shared" si="12"/>
        <v>1</v>
      </c>
      <c r="AI27" s="183">
        <f t="shared" si="13"/>
        <v>2.8902065818722886E-2</v>
      </c>
      <c r="AJ27" s="120">
        <f t="shared" si="14"/>
        <v>2.8902065818722886E-2</v>
      </c>
      <c r="AK27" s="119">
        <f t="shared" si="15"/>
        <v>2.8902065818722886E-2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0.14749431818994274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0.14749431818994274</v>
      </c>
      <c r="N28" s="230"/>
      <c r="O28" s="2"/>
      <c r="P28" s="22"/>
      <c r="U28" s="56"/>
      <c r="V28" s="56"/>
      <c r="W28" s="110"/>
      <c r="X28" s="118"/>
      <c r="Y28" s="183">
        <f t="shared" si="9"/>
        <v>0.58997727275977097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0.29498863637988548</v>
      </c>
      <c r="AF28" s="122">
        <f t="shared" si="10"/>
        <v>0.5</v>
      </c>
      <c r="AG28" s="121">
        <f t="shared" si="11"/>
        <v>0.29498863637988548</v>
      </c>
      <c r="AH28" s="123">
        <f t="shared" si="12"/>
        <v>1</v>
      </c>
      <c r="AI28" s="183">
        <f t="shared" si="13"/>
        <v>0.14749431818994274</v>
      </c>
      <c r="AJ28" s="120">
        <f t="shared" si="14"/>
        <v>0</v>
      </c>
      <c r="AK28" s="119">
        <f t="shared" si="15"/>
        <v>0.29498863637988548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0.42362050283119795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0.42362050283119795</v>
      </c>
      <c r="N29" s="230"/>
      <c r="P29" s="22"/>
      <c r="V29" s="56"/>
      <c r="W29" s="110"/>
      <c r="X29" s="118"/>
      <c r="Y29" s="183">
        <f t="shared" si="9"/>
        <v>1.6944820113247918</v>
      </c>
      <c r="Z29" s="156">
        <f>Poor!Z29</f>
        <v>0.25</v>
      </c>
      <c r="AA29" s="121">
        <f t="shared" si="16"/>
        <v>0.42362050283119795</v>
      </c>
      <c r="AB29" s="156">
        <f>Poor!AB29</f>
        <v>0.25</v>
      </c>
      <c r="AC29" s="121">
        <f t="shared" si="7"/>
        <v>0.42362050283119795</v>
      </c>
      <c r="AD29" s="156">
        <f>Poor!AD29</f>
        <v>0.25</v>
      </c>
      <c r="AE29" s="121">
        <f t="shared" si="8"/>
        <v>0.42362050283119795</v>
      </c>
      <c r="AF29" s="122">
        <f t="shared" si="10"/>
        <v>0.25</v>
      </c>
      <c r="AG29" s="121">
        <f t="shared" si="11"/>
        <v>0.42362050283119795</v>
      </c>
      <c r="AH29" s="123">
        <f t="shared" si="12"/>
        <v>1</v>
      </c>
      <c r="AI29" s="183">
        <f t="shared" si="13"/>
        <v>0.42362050283119795</v>
      </c>
      <c r="AJ29" s="120">
        <f t="shared" si="14"/>
        <v>0.42362050283119795</v>
      </c>
      <c r="AK29" s="119">
        <f t="shared" si="15"/>
        <v>0.42362050283119795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3.2567116789818948</v>
      </c>
      <c r="J30" s="232">
        <f>IF(I$32&lt;=1,I30,1-SUM(J6:J29))</f>
        <v>5.919375577582664E-2</v>
      </c>
      <c r="K30" s="22">
        <f t="shared" si="4"/>
        <v>0.59263033001245335</v>
      </c>
      <c r="L30" s="22">
        <f>IF(L124=L119,0,IF(K30="",0,(L119-L124)/(B119-B124)*K30))</f>
        <v>0.31322908933463711</v>
      </c>
      <c r="M30" s="175">
        <f t="shared" si="6"/>
        <v>5.919375577582664E-2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0.23677502310330656</v>
      </c>
      <c r="Z30" s="122">
        <f>IF($Y30=0,0,AA30/($Y$30))</f>
        <v>1.2334341252215946</v>
      </c>
      <c r="AA30" s="187">
        <f>IF(AA79*4/$I$83+SUM(AA6:AA29)&lt;1,AA79*4/$I$83,1-SUM(AA6:AA29))</f>
        <v>0.29204639349574979</v>
      </c>
      <c r="AB30" s="122">
        <f>IF($Y30=0,0,AC30/($Y$30))</f>
        <v>1.1213811598911889</v>
      </c>
      <c r="AC30" s="187">
        <f>IF(AC79*4/$I$83+SUM(AC6:AC29)&lt;1,AC79*4/$I$83,1-SUM(AC6:AC29))</f>
        <v>0.26551505004084897</v>
      </c>
      <c r="AD30" s="122">
        <f>IF($Y30=0,0,AE30/($Y$30))</f>
        <v>-0.52342620634533432</v>
      </c>
      <c r="AE30" s="187">
        <f>IF(AE79*4/$I$83+SUM(AE6:AE29)&lt;1,AE79*4/$I$83,1-SUM(AE6:AE29))</f>
        <v>-0.12393425210029263</v>
      </c>
      <c r="AF30" s="122">
        <f>IF($Y30=0,0,AG30/($Y$30))</f>
        <v>-0.17749800148778622</v>
      </c>
      <c r="AG30" s="187">
        <f>IF(AG79*4/$I$83+SUM(AG6:AG29)&lt;1,AG79*4/$I$83,1-SUM(AG6:AG29))</f>
        <v>-4.2027093403061322E-2</v>
      </c>
      <c r="AH30" s="123">
        <f t="shared" si="12"/>
        <v>1.6538910772796629</v>
      </c>
      <c r="AI30" s="183">
        <f t="shared" si="13"/>
        <v>9.7900024508311201E-2</v>
      </c>
      <c r="AJ30" s="120">
        <f t="shared" si="14"/>
        <v>0.27878072176829938</v>
      </c>
      <c r="AK30" s="119">
        <f t="shared" si="15"/>
        <v>-8.2980672751676976E-2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-0.30515833275010307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4.8159660611369919</v>
      </c>
      <c r="J32" s="17"/>
      <c r="L32" s="22">
        <f>SUM(L6:L30)</f>
        <v>1.3051583327501031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3.8451749250700615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-9.0112345990638235E-2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8.85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8.85</v>
      </c>
      <c r="AJ37" s="148">
        <f>(AA37+AC37)</f>
        <v>8.85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29.500000000000004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0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29.500000000000004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19517.995409613719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0.20201670441531239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19517.995409613719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19517.995409613719</v>
      </c>
      <c r="AJ39" s="148">
        <f t="shared" si="36"/>
        <v>19517.995409613719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6888.6013771158841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7.1298948433520248E-2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2.0199680871883259</v>
      </c>
      <c r="AA40" s="147">
        <f>$J40*Z40</f>
        <v>13914.75494713564</v>
      </c>
      <c r="AB40" s="122">
        <f>AB9</f>
        <v>-1.0199680871883261</v>
      </c>
      <c r="AC40" s="147">
        <f>$J40*AB40</f>
        <v>-7026.1535700197574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0.99999999999999978</v>
      </c>
      <c r="AI40" s="112">
        <f t="shared" si="35"/>
        <v>6888.6013771158823</v>
      </c>
      <c r="AJ40" s="148">
        <f t="shared" si="36"/>
        <v>6888.6013771158823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22639.974820291132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0.23433006337259848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22639.974820291132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22639.974820291132</v>
      </c>
      <c r="AJ41" s="148">
        <f t="shared" si="36"/>
        <v>22639.974820291132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17.907417249048518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1.85346770573623E-4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4.4768543122621294</v>
      </c>
      <c r="AB43" s="156">
        <f>Poor!AB43</f>
        <v>0.25</v>
      </c>
      <c r="AC43" s="147">
        <f t="shared" si="39"/>
        <v>4.4768543122621294</v>
      </c>
      <c r="AD43" s="156">
        <f>Poor!AD43</f>
        <v>0.25</v>
      </c>
      <c r="AE43" s="147">
        <f t="shared" si="40"/>
        <v>4.4768543122621294</v>
      </c>
      <c r="AF43" s="122">
        <f t="shared" si="31"/>
        <v>0.25</v>
      </c>
      <c r="AG43" s="147">
        <f t="shared" si="34"/>
        <v>4.4768543122621294</v>
      </c>
      <c r="AH43" s="123">
        <f t="shared" si="35"/>
        <v>1</v>
      </c>
      <c r="AI43" s="112">
        <f t="shared" si="35"/>
        <v>17.907417249048518</v>
      </c>
      <c r="AJ43" s="148">
        <f t="shared" si="36"/>
        <v>8.9537086245242588</v>
      </c>
      <c r="AK43" s="147">
        <f t="shared" si="37"/>
        <v>8.9537086245242588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192.29581783274858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1.9903154282065664E-3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48.073954458187146</v>
      </c>
      <c r="AB44" s="156">
        <f>Poor!AB44</f>
        <v>0.25</v>
      </c>
      <c r="AC44" s="147">
        <f t="shared" si="39"/>
        <v>48.073954458187146</v>
      </c>
      <c r="AD44" s="156">
        <f>Poor!AD44</f>
        <v>0.25</v>
      </c>
      <c r="AE44" s="147">
        <f t="shared" si="40"/>
        <v>48.073954458187146</v>
      </c>
      <c r="AF44" s="122">
        <f t="shared" si="31"/>
        <v>0.25</v>
      </c>
      <c r="AG44" s="147">
        <f t="shared" si="34"/>
        <v>48.073954458187146</v>
      </c>
      <c r="AH44" s="123">
        <f t="shared" si="35"/>
        <v>1</v>
      </c>
      <c r="AI44" s="112">
        <f t="shared" si="35"/>
        <v>192.29581783274858</v>
      </c>
      <c r="AJ44" s="148">
        <f t="shared" si="36"/>
        <v>96.147908916374291</v>
      </c>
      <c r="AK44" s="147">
        <f t="shared" si="37"/>
        <v>96.147908916374291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76.30786421934468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7.8980770960578039E-4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19.07696605483617</v>
      </c>
      <c r="AB45" s="156">
        <f>Poor!AB45</f>
        <v>0.25</v>
      </c>
      <c r="AC45" s="147">
        <f t="shared" si="39"/>
        <v>19.07696605483617</v>
      </c>
      <c r="AD45" s="156">
        <f>Poor!AD45</f>
        <v>0.25</v>
      </c>
      <c r="AE45" s="147">
        <f t="shared" si="40"/>
        <v>19.07696605483617</v>
      </c>
      <c r="AF45" s="122">
        <f t="shared" si="31"/>
        <v>0.25</v>
      </c>
      <c r="AG45" s="147">
        <f t="shared" si="34"/>
        <v>19.07696605483617</v>
      </c>
      <c r="AH45" s="123">
        <f t="shared" si="35"/>
        <v>1</v>
      </c>
      <c r="AI45" s="112">
        <f t="shared" si="35"/>
        <v>76.30786421934468</v>
      </c>
      <c r="AJ45" s="148">
        <f t="shared" si="36"/>
        <v>38.15393210967234</v>
      </c>
      <c r="AK45" s="147">
        <f t="shared" si="37"/>
        <v>38.15393210967234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352.54233269337237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3.6489116183787049E-3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88.135583173343093</v>
      </c>
      <c r="AB46" s="156">
        <f>Poor!AB46</f>
        <v>0.25</v>
      </c>
      <c r="AC46" s="147">
        <f t="shared" si="39"/>
        <v>88.135583173343093</v>
      </c>
      <c r="AD46" s="156">
        <f>Poor!AD46</f>
        <v>0.25</v>
      </c>
      <c r="AE46" s="147">
        <f t="shared" si="40"/>
        <v>88.135583173343093</v>
      </c>
      <c r="AF46" s="122">
        <f t="shared" si="31"/>
        <v>0.25</v>
      </c>
      <c r="AG46" s="147">
        <f t="shared" si="34"/>
        <v>88.135583173343093</v>
      </c>
      <c r="AH46" s="123">
        <f t="shared" si="35"/>
        <v>1</v>
      </c>
      <c r="AI46" s="112">
        <f t="shared" si="35"/>
        <v>352.54233269337237</v>
      </c>
      <c r="AJ46" s="148">
        <f t="shared" si="36"/>
        <v>176.27116634668619</v>
      </c>
      <c r="AK46" s="147">
        <f t="shared" si="37"/>
        <v>176.27116634668619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953.84830274180831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9.8725963700722532E-3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238.46207568545208</v>
      </c>
      <c r="AB47" s="156">
        <f>Poor!AB47</f>
        <v>0.25</v>
      </c>
      <c r="AC47" s="147">
        <f t="shared" si="39"/>
        <v>238.46207568545208</v>
      </c>
      <c r="AD47" s="156">
        <f>Poor!AD47</f>
        <v>0.25</v>
      </c>
      <c r="AE47" s="147">
        <f t="shared" si="40"/>
        <v>238.46207568545208</v>
      </c>
      <c r="AF47" s="122">
        <f t="shared" si="31"/>
        <v>0.25</v>
      </c>
      <c r="AG47" s="147">
        <f t="shared" si="34"/>
        <v>238.46207568545208</v>
      </c>
      <c r="AH47" s="123">
        <f t="shared" si="35"/>
        <v>1</v>
      </c>
      <c r="AI47" s="112">
        <f t="shared" si="35"/>
        <v>953.84830274180831</v>
      </c>
      <c r="AJ47" s="148">
        <f t="shared" si="36"/>
        <v>476.92415137090416</v>
      </c>
      <c r="AK47" s="147">
        <f t="shared" si="37"/>
        <v>476.92415137090416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0</v>
      </c>
      <c r="F51" s="75">
        <f>Middle!F51</f>
        <v>1.18</v>
      </c>
      <c r="G51" s="22">
        <f t="shared" si="32"/>
        <v>1.65</v>
      </c>
      <c r="H51" s="24">
        <f t="shared" si="26"/>
        <v>0</v>
      </c>
      <c r="I51" s="39">
        <f t="shared" si="27"/>
        <v>0</v>
      </c>
      <c r="J51" s="38">
        <f t="shared" si="33"/>
        <v>0</v>
      </c>
      <c r="K51" s="40">
        <f t="shared" si="28"/>
        <v>0.14407588824803411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61529.125999999997</v>
      </c>
      <c r="J65" s="39">
        <f>SUM(J37:J64)</f>
        <v>91024.599341757057</v>
      </c>
      <c r="K65" s="40">
        <f>SUM(K37:K64)</f>
        <v>1</v>
      </c>
      <c r="L65" s="22">
        <f>SUM(L37:L64)</f>
        <v>0.91689403125266833</v>
      </c>
      <c r="M65" s="24">
        <f>SUM(M37:M64)</f>
        <v>0.94213002892134101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66557.644610724572</v>
      </c>
      <c r="AB65" s="137"/>
      <c r="AC65" s="153">
        <f>SUM(AC37:AC64)</f>
        <v>3350.1158636643222</v>
      </c>
      <c r="AD65" s="137"/>
      <c r="AE65" s="153">
        <f>SUM(AE37:AE64)</f>
        <v>10631.919433684081</v>
      </c>
      <c r="AF65" s="137"/>
      <c r="AG65" s="153">
        <f>SUM(AG37:AG64)</f>
        <v>10484.919433684081</v>
      </c>
      <c r="AH65" s="137"/>
      <c r="AI65" s="153">
        <f>SUM(AI37:AI64)</f>
        <v>91024.599341757057</v>
      </c>
      <c r="AJ65" s="153">
        <f>SUM(AJ37:AJ64)</f>
        <v>69907.760474388895</v>
      </c>
      <c r="AK65" s="153">
        <f>SUM(AK37:AK64)</f>
        <v>21116.838867368162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50049.757261442923</v>
      </c>
      <c r="J74" s="51">
        <f>J128*I$83</f>
        <v>909.70076568136028</v>
      </c>
      <c r="K74" s="40">
        <f>B74/B$76</f>
        <v>5.7131373420369697E-2</v>
      </c>
      <c r="L74" s="22">
        <f>(L128*G$37*F$9/F$7)/B$130</f>
        <v>4.9823797092976477E-2</v>
      </c>
      <c r="M74" s="24">
        <f>J74/B$76</f>
        <v>9.4156570298461716E-3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1122.0559681316035</v>
      </c>
      <c r="AB74" s="156"/>
      <c r="AC74" s="147">
        <f>AC30*$I$83/4</f>
        <v>1020.1212997736665</v>
      </c>
      <c r="AD74" s="156"/>
      <c r="AE74" s="147">
        <f>AE30*$I$83/4</f>
        <v>-476.1612206900403</v>
      </c>
      <c r="AF74" s="156"/>
      <c r="AG74" s="147">
        <f>AG30*$I$83/4</f>
        <v>-161.47006786035035</v>
      </c>
      <c r="AH74" s="155"/>
      <c r="AI74" s="147">
        <f>SUM(AA74,AC74,AE74,AG74)</f>
        <v>1504.5459793548794</v>
      </c>
      <c r="AJ74" s="148">
        <f>(AA74+AC74)</f>
        <v>2142.1772679052701</v>
      </c>
      <c r="AK74" s="147">
        <f>(AE74+AG74)</f>
        <v>-637.63128855039065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51163.556504185282</v>
      </c>
      <c r="K75" s="40">
        <f>B75/B$76</f>
        <v>0.61703269990822662</v>
      </c>
      <c r="L75" s="22">
        <f>(L129*G$37*F$9/F$7)/B$130</f>
        <v>0.46391296350878447</v>
      </c>
      <c r="M75" s="24">
        <f>J75/B$76</f>
        <v>0.52955710124058741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62565.746457953705</v>
      </c>
      <c r="AB75" s="158"/>
      <c r="AC75" s="149">
        <f>AA75+AC65-SUM(AC70,AC74)</f>
        <v>62025.898837205095</v>
      </c>
      <c r="AD75" s="158"/>
      <c r="AE75" s="149">
        <f>AC75+AE65-SUM(AE70,AE74)</f>
        <v>70264.137306939941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78040.684623845125</v>
      </c>
      <c r="AJ75" s="151">
        <f>AJ76-SUM(AJ70,AJ74)</f>
        <v>62025.898837205095</v>
      </c>
      <c r="AK75" s="149">
        <f>AJ75+AK76-SUM(AK70,AK74)</f>
        <v>78040.684623845111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61529.125999999989</v>
      </c>
      <c r="J76" s="51">
        <f>J130*I$83</f>
        <v>91024.599341757043</v>
      </c>
      <c r="K76" s="40">
        <f>SUM(K70:K75)</f>
        <v>0.77579914937954386</v>
      </c>
      <c r="L76" s="22">
        <f>SUM(L70:L75)</f>
        <v>0.65233702752053002</v>
      </c>
      <c r="M76" s="24">
        <f>SUM(M70:M75)</f>
        <v>0.6775730251892027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66557.644610724572</v>
      </c>
      <c r="AB76" s="137"/>
      <c r="AC76" s="153">
        <f>AC65</f>
        <v>3350.1158636643222</v>
      </c>
      <c r="AD76" s="137"/>
      <c r="AE76" s="153">
        <f>AE65</f>
        <v>10631.919433684081</v>
      </c>
      <c r="AF76" s="137"/>
      <c r="AG76" s="153">
        <f>AG65</f>
        <v>10484.919433684081</v>
      </c>
      <c r="AH76" s="137"/>
      <c r="AI76" s="153">
        <f>SUM(AA76,AC76,AE76,AG76)</f>
        <v>91024.599341757072</v>
      </c>
      <c r="AJ76" s="154">
        <f>SUM(AA76,AC76)</f>
        <v>69907.760474388895</v>
      </c>
      <c r="AK76" s="154">
        <f>SUM(AE76,AG76)</f>
        <v>21116.838867368162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62565.746457953705</v>
      </c>
      <c r="AD78" s="112"/>
      <c r="AE78" s="112">
        <f>AC75</f>
        <v>62025.898837205095</v>
      </c>
      <c r="AF78" s="112"/>
      <c r="AG78" s="112">
        <f>AE75</f>
        <v>70264.137306939941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63687.802426085305</v>
      </c>
      <c r="AB79" s="112"/>
      <c r="AC79" s="112">
        <f>AA79-AA74+AC65-AC70</f>
        <v>63046.020136978761</v>
      </c>
      <c r="AD79" s="112"/>
      <c r="AE79" s="112">
        <f>AC79-AC74+AE65-AE70</f>
        <v>69787.97608624991</v>
      </c>
      <c r="AF79" s="112"/>
      <c r="AG79" s="112">
        <f>AE79-AE74+AG65-AG70</f>
        <v>77879.214555984785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1.2700258118888519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1.2700258118888519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0.44823770951606196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0.44823770951606196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1.4731713887032043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1.4731713887032043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1.1652263284862296E-3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1.1652263284862296E-3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1.2512588871989118E-2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1.2512588871989118E-2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4.9653130444401268E-3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4.9653130444401268E-3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2.2939746265313379E-2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2.2939746265313379E-2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6.2066413055501569E-2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6.2066413055501569E-2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</v>
      </c>
      <c r="I105" s="22">
        <f t="shared" si="59"/>
        <v>0</v>
      </c>
      <c r="J105" s="24">
        <f t="shared" si="60"/>
        <v>0</v>
      </c>
      <c r="K105" s="22">
        <f t="shared" si="61"/>
        <v>1.4945158165728072</v>
      </c>
      <c r="L105" s="22">
        <f t="shared" si="62"/>
        <v>0</v>
      </c>
      <c r="M105" s="228">
        <f t="shared" si="6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4.0036682334944764</v>
      </c>
      <c r="J119" s="24">
        <f>SUM(J91:J118)</f>
        <v>5.9229233461101813</v>
      </c>
      <c r="K119" s="22">
        <f>SUM(K91:K118)</f>
        <v>10.373115409845129</v>
      </c>
      <c r="L119" s="22">
        <f>SUM(L91:L118)</f>
        <v>5.7642712756255001</v>
      </c>
      <c r="M119" s="57">
        <f t="shared" si="50"/>
        <v>5.9229233461101813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3.2567116789818948</v>
      </c>
      <c r="J128" s="229">
        <f>(J30)</f>
        <v>5.919375577582664E-2</v>
      </c>
      <c r="K128" s="22">
        <f>(B128)</f>
        <v>0.59263033001245335</v>
      </c>
      <c r="L128" s="22">
        <f>IF(L124=L119,0,(L119-L124)/(B119-B124)*K128)</f>
        <v>0.31322908933463711</v>
      </c>
      <c r="M128" s="57">
        <f t="shared" si="90"/>
        <v>5.919375577582664E-2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3.3291860165282756</v>
      </c>
      <c r="K129" s="29">
        <f>(B129)</f>
        <v>6.400551407796371</v>
      </c>
      <c r="L129" s="60">
        <f>IF(SUM(L124:L128)&gt;L130,0,L130-SUM(L124:L128))</f>
        <v>2.9164986124847836</v>
      </c>
      <c r="M129" s="57">
        <f t="shared" si="90"/>
        <v>3.3291860165282756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4.0036682334944764</v>
      </c>
      <c r="J130" s="229">
        <f>(J119)</f>
        <v>5.9229233461101813</v>
      </c>
      <c r="K130" s="22">
        <f>(B130)</f>
        <v>10.373115409845129</v>
      </c>
      <c r="L130" s="22">
        <f>(L119)</f>
        <v>5.7642712756255001</v>
      </c>
      <c r="M130" s="57">
        <f t="shared" si="90"/>
        <v>5.9229233461101813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2902.1486914470547</v>
      </c>
      <c r="H72" s="109">
        <f>Middle!T7</f>
        <v>3915.2800501660763</v>
      </c>
      <c r="I72" s="109">
        <f>Rich!T7</f>
        <v>3296.9621455532724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0</v>
      </c>
      <c r="H73" s="109">
        <f>Middle!T8</f>
        <v>1592.0102715036958</v>
      </c>
      <c r="I73" s="109">
        <f>Rich!T8</f>
        <v>31454.845693784315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6296.2643927084928</v>
      </c>
      <c r="I76" s="109">
        <f>Rich!T11</f>
        <v>33008.245983412002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1461.3070490448974</v>
      </c>
      <c r="G77" s="109">
        <f>Poor!T12</f>
        <v>1647.514422489287</v>
      </c>
      <c r="H77" s="109">
        <f>Middle!T12</f>
        <v>506.07046574650406</v>
      </c>
      <c r="I77" s="109">
        <f>Rich!T12</f>
        <v>209.41314308175836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26915.455371810309</v>
      </c>
      <c r="G88" s="109">
        <f>Poor!T23</f>
        <v>36921.5780759353</v>
      </c>
      <c r="H88" s="109">
        <f>Middle!T23</f>
        <v>45750.899550485883</v>
      </c>
      <c r="I88" s="109">
        <f>Rich!T23</f>
        <v>120327.39280719828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2328.6653096333393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13817.931976300006</v>
      </c>
      <c r="G99" s="240">
        <f t="shared" si="0"/>
        <v>3811.8092721750145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34279.131976300006</v>
      </c>
      <c r="G100" s="240">
        <f t="shared" si="0"/>
        <v>24273.009272175019</v>
      </c>
      <c r="H100" s="240">
        <f t="shared" si="0"/>
        <v>15443.687797624436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2016-06-04T22:52:37Z</dcterms:modified>
  <cp:category/>
</cp:coreProperties>
</file>