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8080" windowHeight="160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6" i="1" l="1"/>
  <c r="E45" i="1"/>
  <c r="E44" i="1"/>
  <c r="E43" i="1"/>
  <c r="E42" i="1"/>
  <c r="E41" i="1"/>
  <c r="E40" i="1"/>
  <c r="B81" i="8"/>
  <c r="B70" i="8"/>
  <c r="B71" i="8"/>
  <c r="B72" i="8"/>
  <c r="B29" i="8"/>
  <c r="C29" i="8"/>
  <c r="D29" i="8"/>
  <c r="B80" i="8"/>
  <c r="B82" i="8"/>
  <c r="B83" i="8"/>
  <c r="G37" i="7"/>
  <c r="G37" i="8"/>
  <c r="H83" i="8"/>
  <c r="I83" i="8"/>
  <c r="B81" i="1"/>
  <c r="F70" i="7"/>
  <c r="F70" i="8"/>
  <c r="H70" i="8"/>
  <c r="F71" i="7"/>
  <c r="F71" i="8"/>
  <c r="H71" i="8"/>
  <c r="F72" i="7"/>
  <c r="F72" i="8"/>
  <c r="H72" i="8"/>
  <c r="T26" i="8"/>
  <c r="S26" i="8"/>
  <c r="R26" i="8"/>
  <c r="T25" i="8"/>
  <c r="S25" i="8"/>
  <c r="R25" i="8"/>
  <c r="T24" i="8"/>
  <c r="S24" i="8"/>
  <c r="R24" i="8"/>
  <c r="B6" i="8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E8" i="7"/>
  <c r="E8" i="8"/>
  <c r="H8" i="8"/>
  <c r="I8" i="8"/>
  <c r="B9" i="8"/>
  <c r="C9" i="8"/>
  <c r="D9" i="8"/>
  <c r="E9" i="7"/>
  <c r="E9" i="8"/>
  <c r="H9" i="8"/>
  <c r="I9" i="8"/>
  <c r="B10" i="8"/>
  <c r="C10" i="8"/>
  <c r="D10" i="8"/>
  <c r="E10" i="7"/>
  <c r="E10" i="8"/>
  <c r="H10" i="8"/>
  <c r="I10" i="8"/>
  <c r="B11" i="8"/>
  <c r="C11" i="8"/>
  <c r="D11" i="8"/>
  <c r="E11" i="7"/>
  <c r="E11" i="8"/>
  <c r="H11" i="8"/>
  <c r="I11" i="8"/>
  <c r="B12" i="8"/>
  <c r="C12" i="8"/>
  <c r="D12" i="8"/>
  <c r="E12" i="7"/>
  <c r="E12" i="8"/>
  <c r="H12" i="8"/>
  <c r="I12" i="8"/>
  <c r="B13" i="8"/>
  <c r="C13" i="8"/>
  <c r="D13" i="8"/>
  <c r="E13" i="7"/>
  <c r="E13" i="8"/>
  <c r="H13" i="8"/>
  <c r="I13" i="8"/>
  <c r="B14" i="8"/>
  <c r="C14" i="8"/>
  <c r="D14" i="8"/>
  <c r="E14" i="7"/>
  <c r="E14" i="8"/>
  <c r="H14" i="8"/>
  <c r="I14" i="8"/>
  <c r="B15" i="8"/>
  <c r="C15" i="8"/>
  <c r="D15" i="8"/>
  <c r="E15" i="7"/>
  <c r="E15" i="8"/>
  <c r="H15" i="8"/>
  <c r="I15" i="8"/>
  <c r="B16" i="8"/>
  <c r="C16" i="8"/>
  <c r="D16" i="8"/>
  <c r="E16" i="7"/>
  <c r="E16" i="8"/>
  <c r="H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E37" i="7"/>
  <c r="E37" i="8"/>
  <c r="F37" i="7"/>
  <c r="F37" i="8"/>
  <c r="H91" i="8"/>
  <c r="I91" i="8"/>
  <c r="B38" i="8"/>
  <c r="B92" i="8"/>
  <c r="C38" i="8"/>
  <c r="C92" i="8"/>
  <c r="D92" i="8"/>
  <c r="G38" i="8"/>
  <c r="E38" i="7"/>
  <c r="E38" i="8"/>
  <c r="F38" i="7"/>
  <c r="F38" i="8"/>
  <c r="H92" i="8"/>
  <c r="I92" i="8"/>
  <c r="B39" i="8"/>
  <c r="B93" i="8"/>
  <c r="C39" i="8"/>
  <c r="C93" i="8"/>
  <c r="D93" i="8"/>
  <c r="G39" i="8"/>
  <c r="E39" i="7"/>
  <c r="E39" i="8"/>
  <c r="F39" i="7"/>
  <c r="F39" i="8"/>
  <c r="H93" i="8"/>
  <c r="I93" i="8"/>
  <c r="B40" i="8"/>
  <c r="B94" i="8"/>
  <c r="C40" i="8"/>
  <c r="C94" i="8"/>
  <c r="D94" i="8"/>
  <c r="G40" i="8"/>
  <c r="E40" i="7"/>
  <c r="E40" i="8"/>
  <c r="F40" i="7"/>
  <c r="F40" i="8"/>
  <c r="H94" i="8"/>
  <c r="I94" i="8"/>
  <c r="B41" i="8"/>
  <c r="B95" i="8"/>
  <c r="C41" i="8"/>
  <c r="C95" i="8"/>
  <c r="D95" i="8"/>
  <c r="G41" i="8"/>
  <c r="E41" i="7"/>
  <c r="E41" i="8"/>
  <c r="F41" i="7"/>
  <c r="F41" i="8"/>
  <c r="H95" i="8"/>
  <c r="I95" i="8"/>
  <c r="B42" i="8"/>
  <c r="B96" i="8"/>
  <c r="C42" i="8"/>
  <c r="C96" i="8"/>
  <c r="D96" i="8"/>
  <c r="G42" i="8"/>
  <c r="E42" i="7"/>
  <c r="E42" i="8"/>
  <c r="F42" i="7"/>
  <c r="F42" i="8"/>
  <c r="H96" i="8"/>
  <c r="I96" i="8"/>
  <c r="B43" i="8"/>
  <c r="B97" i="8"/>
  <c r="C43" i="8"/>
  <c r="C97" i="8"/>
  <c r="D97" i="8"/>
  <c r="G43" i="8"/>
  <c r="E43" i="7"/>
  <c r="E43" i="8"/>
  <c r="F43" i="7"/>
  <c r="F43" i="8"/>
  <c r="H97" i="8"/>
  <c r="I97" i="8"/>
  <c r="B44" i="8"/>
  <c r="B98" i="8"/>
  <c r="C44" i="8"/>
  <c r="C98" i="8"/>
  <c r="D98" i="8"/>
  <c r="G44" i="8"/>
  <c r="E44" i="7"/>
  <c r="E44" i="8"/>
  <c r="F44" i="7"/>
  <c r="F44" i="8"/>
  <c r="H98" i="8"/>
  <c r="I98" i="8"/>
  <c r="B45" i="8"/>
  <c r="B99" i="8"/>
  <c r="C45" i="8"/>
  <c r="C99" i="8"/>
  <c r="D99" i="8"/>
  <c r="G45" i="8"/>
  <c r="E45" i="7"/>
  <c r="E45" i="8"/>
  <c r="F45" i="7"/>
  <c r="F45" i="8"/>
  <c r="H99" i="8"/>
  <c r="I99" i="8"/>
  <c r="B46" i="8"/>
  <c r="B100" i="8"/>
  <c r="C46" i="8"/>
  <c r="C100" i="8"/>
  <c r="D100" i="8"/>
  <c r="G46" i="8"/>
  <c r="E46" i="7"/>
  <c r="E46" i="8"/>
  <c r="F46" i="7"/>
  <c r="F46" i="8"/>
  <c r="H100" i="8"/>
  <c r="I100" i="8"/>
  <c r="B47" i="8"/>
  <c r="B101" i="8"/>
  <c r="C47" i="8"/>
  <c r="C101" i="8"/>
  <c r="D101" i="8"/>
  <c r="G47" i="8"/>
  <c r="F47" i="7"/>
  <c r="F47" i="8"/>
  <c r="E47" i="7"/>
  <c r="E47" i="8"/>
  <c r="H101" i="8"/>
  <c r="I101" i="8"/>
  <c r="B48" i="8"/>
  <c r="B102" i="8"/>
  <c r="C48" i="8"/>
  <c r="C102" i="8"/>
  <c r="D102" i="8"/>
  <c r="G48" i="8"/>
  <c r="F48" i="7"/>
  <c r="F48" i="8"/>
  <c r="E48" i="7"/>
  <c r="E48" i="8"/>
  <c r="H102" i="8"/>
  <c r="I102" i="8"/>
  <c r="B49" i="8"/>
  <c r="B103" i="8"/>
  <c r="C49" i="8"/>
  <c r="C103" i="8"/>
  <c r="D103" i="8"/>
  <c r="G49" i="8"/>
  <c r="F49" i="7"/>
  <c r="F49" i="8"/>
  <c r="E49" i="7"/>
  <c r="E49" i="8"/>
  <c r="H103" i="8"/>
  <c r="I103" i="8"/>
  <c r="B50" i="8"/>
  <c r="B104" i="8"/>
  <c r="C50" i="8"/>
  <c r="C104" i="8"/>
  <c r="D104" i="8"/>
  <c r="G50" i="8"/>
  <c r="E50" i="7"/>
  <c r="E50" i="8"/>
  <c r="F50" i="7"/>
  <c r="F50" i="8"/>
  <c r="H104" i="8"/>
  <c r="I104" i="8"/>
  <c r="B51" i="8"/>
  <c r="B105" i="8"/>
  <c r="C51" i="8"/>
  <c r="C105" i="8"/>
  <c r="D105" i="8"/>
  <c r="G51" i="8"/>
  <c r="E51" i="7"/>
  <c r="E51" i="8"/>
  <c r="F51" i="7"/>
  <c r="F51" i="8"/>
  <c r="H105" i="8"/>
  <c r="I105" i="8"/>
  <c r="B52" i="8"/>
  <c r="B106" i="8"/>
  <c r="C52" i="8"/>
  <c r="C106" i="8"/>
  <c r="D106" i="8"/>
  <c r="G52" i="8"/>
  <c r="F52" i="7"/>
  <c r="F52" i="8"/>
  <c r="E52" i="7"/>
  <c r="E52" i="8"/>
  <c r="H106" i="8"/>
  <c r="I106" i="8"/>
  <c r="B53" i="8"/>
  <c r="B107" i="8"/>
  <c r="C53" i="8"/>
  <c r="C107" i="8"/>
  <c r="D107" i="8"/>
  <c r="G53" i="8"/>
  <c r="F53" i="7"/>
  <c r="F53" i="8"/>
  <c r="H107" i="8"/>
  <c r="I107" i="8"/>
  <c r="B54" i="8"/>
  <c r="B108" i="8"/>
  <c r="C54" i="8"/>
  <c r="C108" i="8"/>
  <c r="D108" i="8"/>
  <c r="G54" i="8"/>
  <c r="H108" i="8"/>
  <c r="I108" i="8"/>
  <c r="B55" i="8"/>
  <c r="B109" i="8"/>
  <c r="C55" i="8"/>
  <c r="C109" i="8"/>
  <c r="D109" i="8"/>
  <c r="G55" i="8"/>
  <c r="H109" i="8"/>
  <c r="I109" i="8"/>
  <c r="B56" i="8"/>
  <c r="B110" i="8"/>
  <c r="C56" i="8"/>
  <c r="C110" i="8"/>
  <c r="D110" i="8"/>
  <c r="G56" i="8"/>
  <c r="F56" i="7"/>
  <c r="F56" i="8"/>
  <c r="H110" i="8"/>
  <c r="I110" i="8"/>
  <c r="B57" i="8"/>
  <c r="B111" i="8"/>
  <c r="C57" i="8"/>
  <c r="C111" i="8"/>
  <c r="D111" i="8"/>
  <c r="G57" i="8"/>
  <c r="H111" i="8"/>
  <c r="I111" i="8"/>
  <c r="B58" i="8"/>
  <c r="B112" i="8"/>
  <c r="C58" i="8"/>
  <c r="C112" i="8"/>
  <c r="D112" i="8"/>
  <c r="G58" i="8"/>
  <c r="H112" i="8"/>
  <c r="I112" i="8"/>
  <c r="B59" i="8"/>
  <c r="B113" i="8"/>
  <c r="C59" i="8"/>
  <c r="C113" i="8"/>
  <c r="D113" i="8"/>
  <c r="G59" i="8"/>
  <c r="H113" i="8"/>
  <c r="I113" i="8"/>
  <c r="B60" i="8"/>
  <c r="B114" i="8"/>
  <c r="C60" i="8"/>
  <c r="C114" i="8"/>
  <c r="D114" i="8"/>
  <c r="G60" i="8"/>
  <c r="H114" i="8"/>
  <c r="I114" i="8"/>
  <c r="B61" i="8"/>
  <c r="B115" i="8"/>
  <c r="C61" i="8"/>
  <c r="C115" i="8"/>
  <c r="D115" i="8"/>
  <c r="G61" i="8"/>
  <c r="H115" i="8"/>
  <c r="I115" i="8"/>
  <c r="B62" i="8"/>
  <c r="B116" i="8"/>
  <c r="C62" i="8"/>
  <c r="C116" i="8"/>
  <c r="D116" i="8"/>
  <c r="G62" i="8"/>
  <c r="H116" i="8"/>
  <c r="I116" i="8"/>
  <c r="B63" i="8"/>
  <c r="B117" i="8"/>
  <c r="C63" i="8"/>
  <c r="C117" i="8"/>
  <c r="D117" i="8"/>
  <c r="G63" i="8"/>
  <c r="H117" i="8"/>
  <c r="I117" i="8"/>
  <c r="B64" i="8"/>
  <c r="B118" i="8"/>
  <c r="C64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K110" i="8"/>
  <c r="L110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110" i="8"/>
  <c r="M110" i="8"/>
  <c r="T22" i="8"/>
  <c r="S22" i="8"/>
  <c r="B84" i="8"/>
  <c r="I84" i="8"/>
  <c r="H84" i="8"/>
  <c r="R22" i="8"/>
  <c r="J109" i="8"/>
  <c r="M109" i="8"/>
  <c r="J111" i="8"/>
  <c r="M111" i="8"/>
  <c r="T21" i="8"/>
  <c r="S21" i="8"/>
  <c r="R21" i="8"/>
  <c r="J107" i="8"/>
  <c r="M107" i="8"/>
  <c r="T20" i="8"/>
  <c r="S20" i="8"/>
  <c r="R20" i="8"/>
  <c r="T19" i="8"/>
  <c r="S19" i="8"/>
  <c r="R19" i="8"/>
  <c r="J26" i="8"/>
  <c r="M26" i="8"/>
  <c r="T18" i="8"/>
  <c r="S18" i="8"/>
  <c r="R18" i="8"/>
  <c r="J106" i="8"/>
  <c r="M106" i="8"/>
  <c r="T17" i="8"/>
  <c r="S17" i="8"/>
  <c r="R17" i="8"/>
  <c r="T16" i="8"/>
  <c r="S16" i="8"/>
  <c r="R16" i="8"/>
  <c r="J108" i="8"/>
  <c r="M108" i="8"/>
  <c r="T15" i="8"/>
  <c r="S15" i="8"/>
  <c r="R15" i="8"/>
  <c r="J105" i="8"/>
  <c r="M105" i="8"/>
  <c r="T14" i="8"/>
  <c r="S14" i="8"/>
  <c r="R14" i="8"/>
  <c r="J103" i="8"/>
  <c r="M103" i="8"/>
  <c r="J104" i="8"/>
  <c r="M104" i="8"/>
  <c r="T13" i="8"/>
  <c r="S13" i="8"/>
  <c r="R13" i="8"/>
  <c r="J17" i="8"/>
  <c r="M17" i="8"/>
  <c r="J18" i="8"/>
  <c r="M18" i="8"/>
  <c r="J102" i="8"/>
  <c r="M102" i="8"/>
  <c r="T12" i="8"/>
  <c r="S12" i="8"/>
  <c r="R12" i="8"/>
  <c r="J91" i="8"/>
  <c r="M91" i="8"/>
  <c r="J92" i="8"/>
  <c r="M92" i="8"/>
  <c r="J93" i="8"/>
  <c r="M93" i="8"/>
  <c r="T11" i="8"/>
  <c r="S11" i="8"/>
  <c r="R11" i="8"/>
  <c r="T10" i="8"/>
  <c r="S10" i="8"/>
  <c r="R10" i="8"/>
  <c r="J6" i="8"/>
  <c r="M6" i="8"/>
  <c r="T9" i="8"/>
  <c r="S9" i="8"/>
  <c r="R9" i="8"/>
  <c r="J94" i="8"/>
  <c r="M94" i="8"/>
  <c r="J95" i="8"/>
  <c r="M95" i="8"/>
  <c r="J96" i="8"/>
  <c r="M96" i="8"/>
  <c r="J97" i="8"/>
  <c r="M97" i="8"/>
  <c r="J98" i="8"/>
  <c r="M98" i="8"/>
  <c r="J99" i="8"/>
  <c r="M99" i="8"/>
  <c r="J100" i="8"/>
  <c r="M100" i="8"/>
  <c r="J101" i="8"/>
  <c r="M10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S8" i="8"/>
  <c r="R8" i="8"/>
  <c r="J7" i="8"/>
  <c r="M7" i="8"/>
  <c r="J8" i="8"/>
  <c r="M8" i="8"/>
  <c r="J9" i="8"/>
  <c r="M9" i="8"/>
  <c r="J10" i="8"/>
  <c r="M10" i="8"/>
  <c r="J11" i="8"/>
  <c r="M11" i="8"/>
  <c r="J12" i="8"/>
  <c r="M12" i="8"/>
  <c r="J13" i="8"/>
  <c r="M13" i="8"/>
  <c r="J14" i="8"/>
  <c r="M14" i="8"/>
  <c r="J15" i="8"/>
  <c r="M15" i="8"/>
  <c r="J16" i="8"/>
  <c r="M16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7" i="8"/>
  <c r="M27" i="8"/>
  <c r="J28" i="8"/>
  <c r="M28" i="8"/>
  <c r="T7" i="8"/>
  <c r="S7" i="8"/>
  <c r="R7" i="8"/>
  <c r="B81" i="7"/>
  <c r="B70" i="7"/>
  <c r="B71" i="7"/>
  <c r="B72" i="7"/>
  <c r="B29" i="7"/>
  <c r="C29" i="7"/>
  <c r="D29" i="7"/>
  <c r="B80" i="7"/>
  <c r="B82" i="7"/>
  <c r="B83" i="7"/>
  <c r="H83" i="7"/>
  <c r="I83" i="7"/>
  <c r="H70" i="7"/>
  <c r="H71" i="7"/>
  <c r="H72" i="7"/>
  <c r="T26" i="7"/>
  <c r="S26" i="7"/>
  <c r="R26" i="7"/>
  <c r="T25" i="7"/>
  <c r="S25" i="7"/>
  <c r="R25" i="7"/>
  <c r="T24" i="7"/>
  <c r="S24" i="7"/>
  <c r="R24" i="7"/>
  <c r="B6" i="7"/>
  <c r="C6" i="7"/>
  <c r="D6" i="7"/>
  <c r="H6" i="7"/>
  <c r="I6" i="7"/>
  <c r="B7" i="7"/>
  <c r="C7" i="7"/>
  <c r="D7" i="7"/>
  <c r="H7" i="7"/>
  <c r="I7" i="7"/>
  <c r="B8" i="7"/>
  <c r="C8" i="7"/>
  <c r="D8" i="7"/>
  <c r="H8" i="7"/>
  <c r="I8" i="7"/>
  <c r="B9" i="7"/>
  <c r="C9" i="7"/>
  <c r="D9" i="7"/>
  <c r="H9" i="7"/>
  <c r="I9" i="7"/>
  <c r="B10" i="7"/>
  <c r="C10" i="7"/>
  <c r="D10" i="7"/>
  <c r="H10" i="7"/>
  <c r="I10" i="7"/>
  <c r="B11" i="7"/>
  <c r="C11" i="7"/>
  <c r="D11" i="7"/>
  <c r="H11" i="7"/>
  <c r="I11" i="7"/>
  <c r="B12" i="7"/>
  <c r="C12" i="7"/>
  <c r="D12" i="7"/>
  <c r="H12" i="7"/>
  <c r="I12" i="7"/>
  <c r="B13" i="7"/>
  <c r="C13" i="7"/>
  <c r="D13" i="7"/>
  <c r="H13" i="7"/>
  <c r="I13" i="7"/>
  <c r="B14" i="7"/>
  <c r="C14" i="7"/>
  <c r="D14" i="7"/>
  <c r="H14" i="7"/>
  <c r="I14" i="7"/>
  <c r="B15" i="7"/>
  <c r="C15" i="7"/>
  <c r="D15" i="7"/>
  <c r="H15" i="7"/>
  <c r="I15" i="7"/>
  <c r="B16" i="7"/>
  <c r="C16" i="7"/>
  <c r="D16" i="7"/>
  <c r="H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H91" i="7"/>
  <c r="I91" i="7"/>
  <c r="B38" i="7"/>
  <c r="B92" i="7"/>
  <c r="C38" i="7"/>
  <c r="C92" i="7"/>
  <c r="D92" i="7"/>
  <c r="G38" i="1"/>
  <c r="G38" i="7"/>
  <c r="H92" i="7"/>
  <c r="I92" i="7"/>
  <c r="B39" i="7"/>
  <c r="B93" i="7"/>
  <c r="C39" i="7"/>
  <c r="C93" i="7"/>
  <c r="D93" i="7"/>
  <c r="G39" i="1"/>
  <c r="G39" i="7"/>
  <c r="H93" i="7"/>
  <c r="I93" i="7"/>
  <c r="B40" i="7"/>
  <c r="B94" i="7"/>
  <c r="C40" i="7"/>
  <c r="C94" i="7"/>
  <c r="D94" i="7"/>
  <c r="G40" i="1"/>
  <c r="G40" i="7"/>
  <c r="H94" i="7"/>
  <c r="I94" i="7"/>
  <c r="B41" i="7"/>
  <c r="B95" i="7"/>
  <c r="C41" i="7"/>
  <c r="C95" i="7"/>
  <c r="D95" i="7"/>
  <c r="G41" i="1"/>
  <c r="G41" i="7"/>
  <c r="H95" i="7"/>
  <c r="I95" i="7"/>
  <c r="B42" i="7"/>
  <c r="B96" i="7"/>
  <c r="C42" i="7"/>
  <c r="C96" i="7"/>
  <c r="D96" i="7"/>
  <c r="G42" i="1"/>
  <c r="G42" i="7"/>
  <c r="H96" i="7"/>
  <c r="I96" i="7"/>
  <c r="B43" i="7"/>
  <c r="B97" i="7"/>
  <c r="C43" i="7"/>
  <c r="C97" i="7"/>
  <c r="D97" i="7"/>
  <c r="G43" i="1"/>
  <c r="G43" i="7"/>
  <c r="H97" i="7"/>
  <c r="I97" i="7"/>
  <c r="B44" i="7"/>
  <c r="B98" i="7"/>
  <c r="C44" i="7"/>
  <c r="C98" i="7"/>
  <c r="D98" i="7"/>
  <c r="G44" i="1"/>
  <c r="G44" i="7"/>
  <c r="H98" i="7"/>
  <c r="I98" i="7"/>
  <c r="B45" i="7"/>
  <c r="B99" i="7"/>
  <c r="C45" i="7"/>
  <c r="C99" i="7"/>
  <c r="D99" i="7"/>
  <c r="G45" i="1"/>
  <c r="G45" i="7"/>
  <c r="H99" i="7"/>
  <c r="I99" i="7"/>
  <c r="B46" i="7"/>
  <c r="B100" i="7"/>
  <c r="C46" i="7"/>
  <c r="C100" i="7"/>
  <c r="D100" i="7"/>
  <c r="G46" i="1"/>
  <c r="G46" i="7"/>
  <c r="H100" i="7"/>
  <c r="I100" i="7"/>
  <c r="B47" i="7"/>
  <c r="B101" i="7"/>
  <c r="C47" i="7"/>
  <c r="C101" i="7"/>
  <c r="D101" i="7"/>
  <c r="G47" i="1"/>
  <c r="G47" i="7"/>
  <c r="H101" i="7"/>
  <c r="I101" i="7"/>
  <c r="B48" i="7"/>
  <c r="B102" i="7"/>
  <c r="C48" i="7"/>
  <c r="C102" i="7"/>
  <c r="D102" i="7"/>
  <c r="G48" i="1"/>
  <c r="G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K110" i="7"/>
  <c r="L110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H127" i="7"/>
  <c r="L127" i="7"/>
  <c r="J33" i="7"/>
  <c r="J110" i="7"/>
  <c r="M110" i="7"/>
  <c r="T22" i="7"/>
  <c r="S22" i="7"/>
  <c r="B84" i="7"/>
  <c r="I84" i="7"/>
  <c r="H84" i="7"/>
  <c r="R22" i="7"/>
  <c r="J109" i="7"/>
  <c r="M109" i="7"/>
  <c r="J111" i="7"/>
  <c r="M111" i="7"/>
  <c r="T21" i="7"/>
  <c r="S21" i="7"/>
  <c r="R21" i="7"/>
  <c r="J107" i="7"/>
  <c r="M107" i="7"/>
  <c r="T20" i="7"/>
  <c r="S20" i="7"/>
  <c r="R20" i="7"/>
  <c r="T19" i="7"/>
  <c r="S19" i="7"/>
  <c r="R19" i="7"/>
  <c r="J26" i="7"/>
  <c r="M26" i="7"/>
  <c r="T18" i="7"/>
  <c r="S18" i="7"/>
  <c r="R18" i="7"/>
  <c r="J106" i="7"/>
  <c r="M106" i="7"/>
  <c r="T17" i="7"/>
  <c r="S17" i="7"/>
  <c r="R17" i="7"/>
  <c r="T16" i="7"/>
  <c r="S16" i="7"/>
  <c r="R16" i="7"/>
  <c r="J108" i="7"/>
  <c r="M108" i="7"/>
  <c r="T15" i="7"/>
  <c r="S15" i="7"/>
  <c r="R15" i="7"/>
  <c r="J105" i="7"/>
  <c r="M105" i="7"/>
  <c r="T14" i="7"/>
  <c r="S14" i="7"/>
  <c r="R14" i="7"/>
  <c r="J103" i="7"/>
  <c r="M103" i="7"/>
  <c r="J104" i="7"/>
  <c r="M104" i="7"/>
  <c r="T13" i="7"/>
  <c r="S13" i="7"/>
  <c r="R13" i="7"/>
  <c r="J17" i="7"/>
  <c r="M17" i="7"/>
  <c r="J18" i="7"/>
  <c r="M18" i="7"/>
  <c r="J102" i="7"/>
  <c r="M102" i="7"/>
  <c r="T12" i="7"/>
  <c r="S12" i="7"/>
  <c r="R12" i="7"/>
  <c r="J91" i="7"/>
  <c r="M91" i="7"/>
  <c r="J92" i="7"/>
  <c r="M92" i="7"/>
  <c r="J93" i="7"/>
  <c r="M93" i="7"/>
  <c r="T11" i="7"/>
  <c r="S11" i="7"/>
  <c r="R11" i="7"/>
  <c r="T10" i="7"/>
  <c r="S10" i="7"/>
  <c r="R10" i="7"/>
  <c r="J6" i="7"/>
  <c r="M6" i="7"/>
  <c r="T9" i="7"/>
  <c r="S9" i="7"/>
  <c r="R9" i="7"/>
  <c r="J94" i="7"/>
  <c r="M94" i="7"/>
  <c r="J95" i="7"/>
  <c r="M95" i="7"/>
  <c r="J96" i="7"/>
  <c r="M96" i="7"/>
  <c r="J97" i="7"/>
  <c r="M97" i="7"/>
  <c r="J98" i="7"/>
  <c r="M98" i="7"/>
  <c r="J99" i="7"/>
  <c r="M99" i="7"/>
  <c r="J100" i="7"/>
  <c r="M100" i="7"/>
  <c r="J101" i="7"/>
  <c r="M10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S8" i="7"/>
  <c r="R8" i="7"/>
  <c r="J7" i="7"/>
  <c r="M7" i="7"/>
  <c r="J8" i="7"/>
  <c r="M8" i="7"/>
  <c r="J9" i="7"/>
  <c r="M9" i="7"/>
  <c r="J10" i="7"/>
  <c r="M10" i="7"/>
  <c r="J11" i="7"/>
  <c r="M11" i="7"/>
  <c r="J12" i="7"/>
  <c r="M12" i="7"/>
  <c r="J13" i="7"/>
  <c r="M13" i="7"/>
  <c r="J14" i="7"/>
  <c r="M14" i="7"/>
  <c r="J15" i="7"/>
  <c r="M15" i="7"/>
  <c r="J16" i="7"/>
  <c r="M16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7" i="7"/>
  <c r="M27" i="7"/>
  <c r="J28" i="7"/>
  <c r="M28" i="7"/>
  <c r="T7" i="7"/>
  <c r="S7" i="7"/>
  <c r="R7" i="7"/>
  <c r="B70" i="1"/>
  <c r="B71" i="1"/>
  <c r="B72" i="1"/>
  <c r="B29" i="1"/>
  <c r="C29" i="1"/>
  <c r="D29" i="1"/>
  <c r="B80" i="1"/>
  <c r="B82" i="1"/>
  <c r="B83" i="1"/>
  <c r="F7" i="1"/>
  <c r="H83" i="1"/>
  <c r="I83" i="1"/>
  <c r="H70" i="1"/>
  <c r="H71" i="1"/>
  <c r="H72" i="1"/>
  <c r="T26" i="1"/>
  <c r="S26" i="1"/>
  <c r="R26" i="1"/>
  <c r="T25" i="1"/>
  <c r="S25" i="1"/>
  <c r="R25" i="1"/>
  <c r="T24" i="1"/>
  <c r="S24" i="1"/>
  <c r="R24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B37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K110" i="1"/>
  <c r="L110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126" i="1"/>
  <c r="H126" i="1"/>
  <c r="B128" i="1"/>
  <c r="K128" i="1"/>
  <c r="L128" i="1"/>
  <c r="L127" i="1"/>
  <c r="J33" i="1"/>
  <c r="J110" i="1"/>
  <c r="M110" i="1"/>
  <c r="T22" i="1"/>
  <c r="S22" i="1"/>
  <c r="B84" i="1"/>
  <c r="I84" i="1"/>
  <c r="H84" i="1"/>
  <c r="R22" i="1"/>
  <c r="J109" i="1"/>
  <c r="M109" i="1"/>
  <c r="J111" i="1"/>
  <c r="M111" i="1"/>
  <c r="T21" i="1"/>
  <c r="S21" i="1"/>
  <c r="R21" i="1"/>
  <c r="J107" i="1"/>
  <c r="M107" i="1"/>
  <c r="T20" i="1"/>
  <c r="S20" i="1"/>
  <c r="R20" i="1"/>
  <c r="T19" i="1"/>
  <c r="S19" i="1"/>
  <c r="R19" i="1"/>
  <c r="J26" i="1"/>
  <c r="M26" i="1"/>
  <c r="T18" i="1"/>
  <c r="S18" i="1"/>
  <c r="R18" i="1"/>
  <c r="J106" i="1"/>
  <c r="M106" i="1"/>
  <c r="T17" i="1"/>
  <c r="S17" i="1"/>
  <c r="R17" i="1"/>
  <c r="T16" i="1"/>
  <c r="S16" i="1"/>
  <c r="R16" i="1"/>
  <c r="J108" i="1"/>
  <c r="M108" i="1"/>
  <c r="T15" i="1"/>
  <c r="S15" i="1"/>
  <c r="R15" i="1"/>
  <c r="J105" i="1"/>
  <c r="M105" i="1"/>
  <c r="T14" i="1"/>
  <c r="S14" i="1"/>
  <c r="R14" i="1"/>
  <c r="J103" i="1"/>
  <c r="M103" i="1"/>
  <c r="J104" i="1"/>
  <c r="M104" i="1"/>
  <c r="T13" i="1"/>
  <c r="S13" i="1"/>
  <c r="R13" i="1"/>
  <c r="J17" i="1"/>
  <c r="M17" i="1"/>
  <c r="J18" i="1"/>
  <c r="M18" i="1"/>
  <c r="J102" i="1"/>
  <c r="M102" i="1"/>
  <c r="T12" i="1"/>
  <c r="S12" i="1"/>
  <c r="R12" i="1"/>
  <c r="J91" i="1"/>
  <c r="M91" i="1"/>
  <c r="J92" i="1"/>
  <c r="M92" i="1"/>
  <c r="J93" i="1"/>
  <c r="M93" i="1"/>
  <c r="T11" i="1"/>
  <c r="S11" i="1"/>
  <c r="R11" i="1"/>
  <c r="T10" i="1"/>
  <c r="S10" i="1"/>
  <c r="R10" i="1"/>
  <c r="J6" i="1"/>
  <c r="M6" i="1"/>
  <c r="T9" i="1"/>
  <c r="S9" i="1"/>
  <c r="R9" i="1"/>
  <c r="J94" i="1"/>
  <c r="M94" i="1"/>
  <c r="J95" i="1"/>
  <c r="M95" i="1"/>
  <c r="J96" i="1"/>
  <c r="M96" i="1"/>
  <c r="J97" i="1"/>
  <c r="M97" i="1"/>
  <c r="J98" i="1"/>
  <c r="M98" i="1"/>
  <c r="J99" i="1"/>
  <c r="M99" i="1"/>
  <c r="J100" i="1"/>
  <c r="M100" i="1"/>
  <c r="J101" i="1"/>
  <c r="M10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S8" i="1"/>
  <c r="R8" i="1"/>
  <c r="J7" i="1"/>
  <c r="M7" i="1"/>
  <c r="J8" i="1"/>
  <c r="M8" i="1"/>
  <c r="J9" i="1"/>
  <c r="M9" i="1"/>
  <c r="J10" i="1"/>
  <c r="M10" i="1"/>
  <c r="J11" i="1"/>
  <c r="M11" i="1"/>
  <c r="J12" i="1"/>
  <c r="M12" i="1"/>
  <c r="J13" i="1"/>
  <c r="M13" i="1"/>
  <c r="J14" i="1"/>
  <c r="M14" i="1"/>
  <c r="J15" i="1"/>
  <c r="M15" i="1"/>
  <c r="J16" i="1"/>
  <c r="M16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7" i="1"/>
  <c r="M27" i="1"/>
  <c r="J28" i="1"/>
  <c r="M28" i="1"/>
  <c r="T7" i="1"/>
  <c r="S7" i="1"/>
  <c r="R7" i="1"/>
  <c r="B81" i="12"/>
  <c r="B7" i="12"/>
  <c r="K7" i="12"/>
  <c r="E7" i="12"/>
  <c r="H7" i="12"/>
  <c r="L7" i="12"/>
  <c r="B8" i="12"/>
  <c r="K8" i="12"/>
  <c r="E8" i="12"/>
  <c r="H8" i="12"/>
  <c r="L8" i="12"/>
  <c r="B9" i="12"/>
  <c r="K9" i="12"/>
  <c r="E9" i="12"/>
  <c r="H9" i="12"/>
  <c r="L9" i="12"/>
  <c r="B6" i="12"/>
  <c r="K6" i="12"/>
  <c r="E6" i="12"/>
  <c r="H6" i="12"/>
  <c r="L6" i="12"/>
  <c r="B10" i="12"/>
  <c r="K10" i="12"/>
  <c r="E10" i="12"/>
  <c r="H10" i="12"/>
  <c r="L10" i="12"/>
  <c r="B11" i="12"/>
  <c r="K11" i="12"/>
  <c r="E11" i="12"/>
  <c r="H11" i="12"/>
  <c r="L11" i="12"/>
  <c r="B12" i="12"/>
  <c r="K12" i="12"/>
  <c r="E12" i="12"/>
  <c r="H12" i="12"/>
  <c r="L12" i="12"/>
  <c r="B13" i="12"/>
  <c r="K13" i="12"/>
  <c r="E13" i="12"/>
  <c r="H13" i="12"/>
  <c r="L13" i="12"/>
  <c r="B14" i="12"/>
  <c r="K14" i="12"/>
  <c r="E14" i="12"/>
  <c r="H14" i="12"/>
  <c r="L14" i="12"/>
  <c r="B15" i="12"/>
  <c r="K15" i="12"/>
  <c r="E15" i="12"/>
  <c r="H15" i="12"/>
  <c r="L15" i="12"/>
  <c r="B16" i="12"/>
  <c r="K16" i="12"/>
  <c r="E16" i="12"/>
  <c r="H16" i="12"/>
  <c r="L16" i="12"/>
  <c r="B17" i="12"/>
  <c r="K17" i="12"/>
  <c r="L17" i="12"/>
  <c r="B18" i="12"/>
  <c r="K18" i="12"/>
  <c r="L18" i="12"/>
  <c r="B19" i="12"/>
  <c r="K19" i="12"/>
  <c r="L19" i="12"/>
  <c r="B20" i="12"/>
  <c r="K20" i="12"/>
  <c r="L20" i="12"/>
  <c r="B21" i="12"/>
  <c r="K21" i="12"/>
  <c r="L21" i="12"/>
  <c r="B22" i="12"/>
  <c r="K22" i="12"/>
  <c r="L22" i="12"/>
  <c r="B23" i="12"/>
  <c r="K23" i="12"/>
  <c r="L23" i="12"/>
  <c r="B24" i="12"/>
  <c r="K24" i="12"/>
  <c r="L24" i="12"/>
  <c r="B25" i="12"/>
  <c r="K25" i="12"/>
  <c r="L25" i="12"/>
  <c r="B26" i="12"/>
  <c r="K26" i="12"/>
  <c r="L26" i="12"/>
  <c r="B27" i="12"/>
  <c r="K27" i="12"/>
  <c r="L27" i="12"/>
  <c r="B28" i="12"/>
  <c r="K28" i="12"/>
  <c r="L28" i="12"/>
  <c r="B80" i="12"/>
  <c r="B82" i="12"/>
  <c r="B83" i="12"/>
  <c r="G37" i="12"/>
  <c r="H83" i="12"/>
  <c r="I83" i="12"/>
  <c r="S7" i="12"/>
  <c r="B70" i="12"/>
  <c r="B29" i="12"/>
  <c r="C29" i="12"/>
  <c r="D29" i="12"/>
  <c r="B84" i="12"/>
  <c r="F70" i="12"/>
  <c r="H70" i="12"/>
  <c r="I84" i="12"/>
  <c r="H84" i="12"/>
  <c r="R7" i="12"/>
  <c r="B71" i="12"/>
  <c r="B72" i="12"/>
  <c r="F71" i="12"/>
  <c r="H71" i="12"/>
  <c r="F72" i="12"/>
  <c r="H72" i="12"/>
  <c r="T26" i="12"/>
  <c r="S26" i="12"/>
  <c r="R26" i="12"/>
  <c r="T25" i="12"/>
  <c r="S25" i="12"/>
  <c r="R25" i="12"/>
  <c r="T24" i="12"/>
  <c r="S24" i="12"/>
  <c r="R24" i="12"/>
  <c r="C6" i="12"/>
  <c r="D6" i="12"/>
  <c r="I6" i="12"/>
  <c r="C7" i="12"/>
  <c r="D7" i="12"/>
  <c r="I7" i="12"/>
  <c r="C8" i="12"/>
  <c r="D8" i="12"/>
  <c r="I8" i="12"/>
  <c r="C9" i="12"/>
  <c r="D9" i="12"/>
  <c r="I9" i="12"/>
  <c r="C10" i="12"/>
  <c r="D10" i="12"/>
  <c r="I10" i="12"/>
  <c r="C11" i="12"/>
  <c r="D11" i="12"/>
  <c r="I11" i="12"/>
  <c r="C12" i="12"/>
  <c r="D12" i="12"/>
  <c r="I12" i="12"/>
  <c r="C13" i="12"/>
  <c r="D13" i="12"/>
  <c r="I13" i="12"/>
  <c r="C14" i="12"/>
  <c r="D14" i="12"/>
  <c r="I14" i="12"/>
  <c r="C15" i="12"/>
  <c r="D15" i="12"/>
  <c r="I15" i="12"/>
  <c r="C16" i="12"/>
  <c r="D16" i="12"/>
  <c r="I16" i="12"/>
  <c r="C17" i="12"/>
  <c r="D17" i="12"/>
  <c r="I17" i="12"/>
  <c r="C18" i="12"/>
  <c r="D18" i="12"/>
  <c r="I18" i="12"/>
  <c r="C19" i="12"/>
  <c r="D19" i="12"/>
  <c r="I19" i="12"/>
  <c r="C20" i="12"/>
  <c r="D20" i="12"/>
  <c r="I20" i="12"/>
  <c r="C21" i="12"/>
  <c r="D21" i="12"/>
  <c r="I21" i="12"/>
  <c r="C22" i="12"/>
  <c r="D22" i="12"/>
  <c r="I22" i="12"/>
  <c r="C23" i="12"/>
  <c r="D23" i="12"/>
  <c r="I23" i="12"/>
  <c r="C24" i="12"/>
  <c r="D24" i="12"/>
  <c r="I24" i="12"/>
  <c r="C25" i="12"/>
  <c r="D25" i="12"/>
  <c r="I25" i="12"/>
  <c r="C26" i="12"/>
  <c r="D26" i="12"/>
  <c r="I26" i="12"/>
  <c r="C27" i="12"/>
  <c r="D27" i="12"/>
  <c r="I27" i="12"/>
  <c r="C28" i="12"/>
  <c r="D28" i="12"/>
  <c r="I28" i="12"/>
  <c r="I29" i="12"/>
  <c r="B37" i="12"/>
  <c r="B91" i="12"/>
  <c r="C37" i="12"/>
  <c r="C91" i="12"/>
  <c r="D91" i="12"/>
  <c r="E37" i="12"/>
  <c r="F37" i="12"/>
  <c r="H91" i="12"/>
  <c r="I91" i="12"/>
  <c r="B38" i="12"/>
  <c r="B92" i="12"/>
  <c r="C38" i="12"/>
  <c r="C92" i="12"/>
  <c r="D92" i="12"/>
  <c r="G38" i="12"/>
  <c r="E38" i="12"/>
  <c r="F38" i="12"/>
  <c r="H92" i="12"/>
  <c r="I92" i="12"/>
  <c r="B39" i="12"/>
  <c r="B93" i="12"/>
  <c r="C39" i="12"/>
  <c r="C93" i="12"/>
  <c r="D93" i="12"/>
  <c r="G39" i="12"/>
  <c r="E39" i="12"/>
  <c r="F39" i="12"/>
  <c r="H93" i="12"/>
  <c r="I93" i="12"/>
  <c r="B40" i="12"/>
  <c r="B94" i="12"/>
  <c r="C40" i="12"/>
  <c r="C94" i="12"/>
  <c r="D94" i="12"/>
  <c r="G40" i="12"/>
  <c r="E40" i="12"/>
  <c r="F40" i="12"/>
  <c r="H94" i="12"/>
  <c r="I94" i="12"/>
  <c r="B41" i="12"/>
  <c r="B95" i="12"/>
  <c r="C41" i="12"/>
  <c r="C95" i="12"/>
  <c r="D95" i="12"/>
  <c r="G41" i="12"/>
  <c r="E41" i="12"/>
  <c r="F41" i="12"/>
  <c r="H95" i="12"/>
  <c r="I95" i="12"/>
  <c r="B42" i="12"/>
  <c r="B96" i="12"/>
  <c r="C42" i="12"/>
  <c r="C96" i="12"/>
  <c r="D96" i="12"/>
  <c r="G42" i="12"/>
  <c r="E42" i="12"/>
  <c r="F42" i="12"/>
  <c r="H96" i="12"/>
  <c r="I96" i="12"/>
  <c r="B43" i="12"/>
  <c r="B97" i="12"/>
  <c r="C43" i="12"/>
  <c r="C97" i="12"/>
  <c r="D97" i="12"/>
  <c r="G43" i="12"/>
  <c r="E43" i="12"/>
  <c r="F43" i="12"/>
  <c r="H97" i="12"/>
  <c r="I97" i="12"/>
  <c r="B44" i="12"/>
  <c r="B98" i="12"/>
  <c r="C44" i="12"/>
  <c r="C98" i="12"/>
  <c r="D98" i="12"/>
  <c r="G44" i="12"/>
  <c r="E44" i="12"/>
  <c r="F44" i="12"/>
  <c r="H98" i="12"/>
  <c r="I98" i="12"/>
  <c r="B45" i="12"/>
  <c r="B99" i="12"/>
  <c r="C45" i="12"/>
  <c r="C99" i="12"/>
  <c r="D99" i="12"/>
  <c r="G45" i="12"/>
  <c r="E45" i="12"/>
  <c r="F45" i="12"/>
  <c r="H99" i="12"/>
  <c r="I99" i="12"/>
  <c r="B46" i="12"/>
  <c r="B100" i="12"/>
  <c r="C46" i="12"/>
  <c r="C100" i="12"/>
  <c r="D100" i="12"/>
  <c r="G46" i="12"/>
  <c r="E46" i="12"/>
  <c r="F46" i="12"/>
  <c r="H100" i="12"/>
  <c r="I100" i="12"/>
  <c r="B47" i="12"/>
  <c r="B101" i="12"/>
  <c r="C47" i="12"/>
  <c r="C101" i="12"/>
  <c r="D101" i="12"/>
  <c r="G47" i="12"/>
  <c r="F47" i="12"/>
  <c r="E47" i="12"/>
  <c r="H101" i="12"/>
  <c r="I101" i="12"/>
  <c r="B48" i="12"/>
  <c r="B102" i="12"/>
  <c r="C48" i="12"/>
  <c r="C102" i="12"/>
  <c r="D102" i="12"/>
  <c r="G48" i="12"/>
  <c r="F48" i="12"/>
  <c r="E48" i="12"/>
  <c r="H102" i="12"/>
  <c r="I102" i="12"/>
  <c r="B49" i="12"/>
  <c r="B103" i="12"/>
  <c r="C49" i="12"/>
  <c r="C103" i="12"/>
  <c r="D103" i="12"/>
  <c r="G49" i="12"/>
  <c r="F49" i="12"/>
  <c r="E49" i="12"/>
  <c r="H103" i="12"/>
  <c r="I103" i="12"/>
  <c r="B50" i="12"/>
  <c r="B104" i="12"/>
  <c r="C50" i="12"/>
  <c r="C104" i="12"/>
  <c r="D104" i="12"/>
  <c r="G50" i="12"/>
  <c r="E50" i="12"/>
  <c r="F50" i="12"/>
  <c r="H104" i="12"/>
  <c r="I104" i="12"/>
  <c r="B51" i="12"/>
  <c r="B105" i="12"/>
  <c r="C51" i="12"/>
  <c r="C105" i="12"/>
  <c r="D105" i="12"/>
  <c r="G51" i="12"/>
  <c r="E51" i="12"/>
  <c r="F51" i="12"/>
  <c r="H105" i="12"/>
  <c r="I105" i="12"/>
  <c r="B52" i="12"/>
  <c r="B106" i="12"/>
  <c r="C52" i="12"/>
  <c r="C106" i="12"/>
  <c r="D106" i="12"/>
  <c r="G52" i="12"/>
  <c r="F52" i="12"/>
  <c r="E52" i="12"/>
  <c r="H106" i="12"/>
  <c r="I106" i="12"/>
  <c r="B53" i="12"/>
  <c r="B107" i="12"/>
  <c r="C53" i="12"/>
  <c r="C107" i="12"/>
  <c r="D107" i="12"/>
  <c r="G53" i="12"/>
  <c r="F53" i="12"/>
  <c r="H107" i="12"/>
  <c r="I107" i="12"/>
  <c r="B54" i="12"/>
  <c r="B108" i="12"/>
  <c r="C54" i="12"/>
  <c r="C108" i="12"/>
  <c r="D108" i="12"/>
  <c r="G54" i="12"/>
  <c r="H108" i="12"/>
  <c r="I108" i="12"/>
  <c r="B55" i="12"/>
  <c r="B109" i="12"/>
  <c r="C55" i="12"/>
  <c r="C109" i="12"/>
  <c r="D109" i="12"/>
  <c r="G55" i="12"/>
  <c r="H109" i="12"/>
  <c r="I109" i="12"/>
  <c r="B56" i="12"/>
  <c r="B110" i="12"/>
  <c r="C56" i="12"/>
  <c r="C110" i="12"/>
  <c r="D110" i="12"/>
  <c r="G56" i="12"/>
  <c r="F56" i="12"/>
  <c r="H110" i="12"/>
  <c r="I110" i="12"/>
  <c r="B57" i="12"/>
  <c r="B111" i="12"/>
  <c r="C57" i="12"/>
  <c r="C111" i="12"/>
  <c r="D111" i="12"/>
  <c r="G57" i="12"/>
  <c r="H111" i="12"/>
  <c r="I111" i="12"/>
  <c r="B58" i="12"/>
  <c r="B112" i="12"/>
  <c r="C58" i="12"/>
  <c r="C112" i="12"/>
  <c r="D112" i="12"/>
  <c r="G58" i="12"/>
  <c r="H112" i="12"/>
  <c r="I112" i="12"/>
  <c r="B59" i="12"/>
  <c r="B113" i="12"/>
  <c r="C59" i="12"/>
  <c r="C113" i="12"/>
  <c r="D113" i="12"/>
  <c r="G59" i="12"/>
  <c r="H113" i="12"/>
  <c r="I113" i="12"/>
  <c r="B60" i="12"/>
  <c r="B114" i="12"/>
  <c r="C60" i="12"/>
  <c r="C114" i="12"/>
  <c r="D114" i="12"/>
  <c r="G60" i="12"/>
  <c r="H114" i="12"/>
  <c r="I114" i="12"/>
  <c r="B61" i="12"/>
  <c r="B115" i="12"/>
  <c r="C61" i="12"/>
  <c r="C115" i="12"/>
  <c r="D115" i="12"/>
  <c r="G61" i="12"/>
  <c r="H115" i="12"/>
  <c r="I115" i="12"/>
  <c r="B62" i="12"/>
  <c r="B116" i="12"/>
  <c r="C62" i="12"/>
  <c r="C116" i="12"/>
  <c r="D116" i="12"/>
  <c r="G62" i="12"/>
  <c r="H116" i="12"/>
  <c r="I116" i="12"/>
  <c r="B63" i="12"/>
  <c r="B117" i="12"/>
  <c r="C63" i="12"/>
  <c r="C117" i="12"/>
  <c r="D117" i="12"/>
  <c r="G63" i="12"/>
  <c r="H117" i="12"/>
  <c r="I117" i="12"/>
  <c r="B64" i="12"/>
  <c r="B118" i="12"/>
  <c r="C64" i="12"/>
  <c r="C118" i="12"/>
  <c r="D118" i="12"/>
  <c r="G64" i="12"/>
  <c r="H118" i="12"/>
  <c r="I118" i="12"/>
  <c r="I119" i="12"/>
  <c r="B124" i="12"/>
  <c r="H124" i="12"/>
  <c r="I124" i="12"/>
  <c r="I30" i="12"/>
  <c r="I32" i="12"/>
  <c r="K110" i="12"/>
  <c r="L110" i="12"/>
  <c r="B73" i="12"/>
  <c r="B127" i="12"/>
  <c r="K127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L32" i="12"/>
  <c r="B125" i="12"/>
  <c r="B126" i="12"/>
  <c r="B128" i="12"/>
  <c r="K128" i="12"/>
  <c r="L128" i="12"/>
  <c r="H125" i="12"/>
  <c r="H126" i="12"/>
  <c r="F73" i="12"/>
  <c r="H127" i="12"/>
  <c r="L127" i="12"/>
  <c r="J33" i="12"/>
  <c r="J110" i="12"/>
  <c r="M110" i="12"/>
  <c r="T22" i="12"/>
  <c r="S22" i="12"/>
  <c r="R22" i="12"/>
  <c r="J109" i="12"/>
  <c r="M109" i="12"/>
  <c r="J111" i="12"/>
  <c r="M111" i="12"/>
  <c r="T21" i="12"/>
  <c r="S21" i="12"/>
  <c r="R21" i="12"/>
  <c r="J107" i="12"/>
  <c r="M107" i="12"/>
  <c r="T20" i="12"/>
  <c r="S20" i="12"/>
  <c r="R20" i="12"/>
  <c r="T19" i="12"/>
  <c r="S19" i="12"/>
  <c r="R19" i="12"/>
  <c r="I128" i="12"/>
  <c r="I131" i="12"/>
  <c r="J26" i="12"/>
  <c r="M26" i="12"/>
  <c r="T18" i="12"/>
  <c r="S18" i="12"/>
  <c r="R18" i="12"/>
  <c r="J106" i="12"/>
  <c r="M106" i="12"/>
  <c r="T17" i="12"/>
  <c r="S17" i="12"/>
  <c r="R17" i="12"/>
  <c r="T16" i="12"/>
  <c r="S16" i="12"/>
  <c r="R16" i="12"/>
  <c r="J108" i="12"/>
  <c r="M108" i="12"/>
  <c r="T15" i="12"/>
  <c r="S15" i="12"/>
  <c r="R15" i="12"/>
  <c r="J105" i="12"/>
  <c r="M105" i="12"/>
  <c r="T14" i="12"/>
  <c r="S14" i="12"/>
  <c r="R14" i="12"/>
  <c r="J103" i="12"/>
  <c r="M103" i="12"/>
  <c r="J104" i="12"/>
  <c r="M104" i="12"/>
  <c r="T13" i="12"/>
  <c r="S13" i="12"/>
  <c r="R13" i="12"/>
  <c r="J17" i="12"/>
  <c r="M17" i="12"/>
  <c r="J18" i="12"/>
  <c r="M18" i="12"/>
  <c r="J102" i="12"/>
  <c r="M102" i="12"/>
  <c r="T12" i="12"/>
  <c r="S12" i="12"/>
  <c r="R12" i="12"/>
  <c r="J91" i="12"/>
  <c r="M91" i="12"/>
  <c r="J92" i="12"/>
  <c r="M92" i="12"/>
  <c r="J93" i="12"/>
  <c r="M93" i="12"/>
  <c r="T11" i="12"/>
  <c r="S11" i="12"/>
  <c r="R11" i="12"/>
  <c r="T10" i="12"/>
  <c r="S10" i="12"/>
  <c r="R10" i="12"/>
  <c r="J6" i="12"/>
  <c r="M6" i="12"/>
  <c r="T9" i="12"/>
  <c r="S9" i="12"/>
  <c r="R9" i="12"/>
  <c r="J94" i="12"/>
  <c r="M94" i="12"/>
  <c r="J95" i="12"/>
  <c r="M95" i="12"/>
  <c r="J96" i="12"/>
  <c r="M96" i="12"/>
  <c r="J97" i="12"/>
  <c r="M97" i="12"/>
  <c r="J98" i="12"/>
  <c r="M98" i="12"/>
  <c r="J99" i="12"/>
  <c r="M99" i="12"/>
  <c r="J100" i="12"/>
  <c r="M100" i="12"/>
  <c r="J101" i="12"/>
  <c r="M10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S8" i="12"/>
  <c r="R8" i="12"/>
  <c r="J7" i="12"/>
  <c r="M7" i="12"/>
  <c r="J8" i="12"/>
  <c r="M8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6" i="12"/>
  <c r="M16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7" i="12"/>
  <c r="M27" i="12"/>
  <c r="J28" i="12"/>
  <c r="M28" i="12"/>
  <c r="T7" i="12"/>
  <c r="T23" i="8"/>
  <c r="T32" i="8"/>
  <c r="S23" i="8"/>
  <c r="S32" i="8"/>
  <c r="R23" i="8"/>
  <c r="R32" i="8"/>
  <c r="T31" i="8"/>
  <c r="S31" i="8"/>
  <c r="R31" i="8"/>
  <c r="T30" i="8"/>
  <c r="S30" i="8"/>
  <c r="R30" i="8"/>
  <c r="T23" i="7"/>
  <c r="T32" i="7"/>
  <c r="S23" i="7"/>
  <c r="S32" i="7"/>
  <c r="R23" i="7"/>
  <c r="R32" i="7"/>
  <c r="T31" i="7"/>
  <c r="S31" i="7"/>
  <c r="R31" i="7"/>
  <c r="T30" i="7"/>
  <c r="S30" i="7"/>
  <c r="R30" i="7"/>
  <c r="T23" i="1"/>
  <c r="T32" i="1"/>
  <c r="S23" i="1"/>
  <c r="S32" i="1"/>
  <c r="R23" i="1"/>
  <c r="R32" i="1"/>
  <c r="T31" i="1"/>
  <c r="S31" i="1"/>
  <c r="R31" i="1"/>
  <c r="T30" i="1"/>
  <c r="S30" i="1"/>
  <c r="R30" i="1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8"/>
  <c r="J30" i="8"/>
  <c r="J31" i="8"/>
  <c r="J29" i="7"/>
  <c r="J30" i="7"/>
  <c r="J31" i="7"/>
  <c r="J29" i="1"/>
  <c r="J30" i="1"/>
  <c r="J31" i="1"/>
  <c r="J29" i="12"/>
  <c r="J30" i="12"/>
  <c r="J31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53" i="12"/>
  <c r="E54" i="12"/>
  <c r="F54" i="12"/>
  <c r="E55" i="12"/>
  <c r="F55" i="12"/>
  <c r="E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53" i="7"/>
  <c r="E54" i="7"/>
  <c r="F54" i="7"/>
  <c r="E55" i="7"/>
  <c r="F55" i="7"/>
  <c r="E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53" i="8"/>
  <c r="E54" i="8"/>
  <c r="F54" i="8"/>
  <c r="E55" i="8"/>
  <c r="F55" i="8"/>
  <c r="E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D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E18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U31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<sst xmlns="http://schemas.openxmlformats.org/spreadsheetml/2006/main" count="790" uniqueCount="145">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</sst>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6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1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38" fontId="8" fillId="0" borderId="0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36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ormal" xfId="0" builtinId="0"/>
    <cellStyle name="Percent" xfId="6" builtinId="5"/>
    <cellStyle name="Total" xfId="7" builtinId="25" customBuiltin="1"/>
  </cellStyles>
  <dxfs count="57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0.0202651482721046</c:v>
                </c:pt>
                <c:pt idx="1">
                  <c:v>0.00405302965442092</c:v>
                </c:pt>
                <c:pt idx="2" formatCode="0.0%">
                  <c:v>0.00405302965442092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0.0075</c:v>
                </c:pt>
                <c:pt idx="1">
                  <c:v>0.0015</c:v>
                </c:pt>
                <c:pt idx="2" formatCode="0.0%">
                  <c:v>0.0015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0.0289812422166874</c:v>
                </c:pt>
                <c:pt idx="1">
                  <c:v>0.00869437266500622</c:v>
                </c:pt>
                <c:pt idx="2" formatCode="0.0%">
                  <c:v>0.00869437266500622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0.000647260273972603</c:v>
                </c:pt>
                <c:pt idx="1">
                  <c:v>0.000129452054794521</c:v>
                </c:pt>
                <c:pt idx="2" formatCode="0.0%">
                  <c:v>0.000129452054794521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0.0204370456102117</c:v>
                </c:pt>
                <c:pt idx="1">
                  <c:v>0.00408740912204234</c:v>
                </c:pt>
                <c:pt idx="2" formatCode="0.0%">
                  <c:v>0.00259605714508095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0.0105547945205479</c:v>
                </c:pt>
                <c:pt idx="1">
                  <c:v>0.00211095890410959</c:v>
                </c:pt>
                <c:pt idx="2" formatCode="0.0%">
                  <c:v>0.00642465753424657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0.00698746886674969</c:v>
                </c:pt>
                <c:pt idx="1">
                  <c:v>0.00139749377334994</c:v>
                </c:pt>
                <c:pt idx="2" formatCode="0.0%">
                  <c:v>0.0028685398505604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0.022359900373599</c:v>
                </c:pt>
                <c:pt idx="1">
                  <c:v>0.0044719800747198</c:v>
                </c:pt>
                <c:pt idx="2" formatCode="0.0%">
                  <c:v>0.007453300124533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0.00434775840597758</c:v>
                </c:pt>
                <c:pt idx="1">
                  <c:v>0.000869551681195517</c:v>
                </c:pt>
                <c:pt idx="2" formatCode="0.0%">
                  <c:v>0.00128144458281445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0.00635449875466999</c:v>
                </c:pt>
                <c:pt idx="1">
                  <c:v>0.001270899750934</c:v>
                </c:pt>
                <c:pt idx="2" formatCode="0.0%">
                  <c:v>0.001270899750934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0.000941469489414695</c:v>
                </c:pt>
                <c:pt idx="1">
                  <c:v>0.000188293897882939</c:v>
                </c:pt>
                <c:pt idx="2" formatCode="0.0%">
                  <c:v>0.000188293897882939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0.0105354919053549</c:v>
                </c:pt>
                <c:pt idx="1">
                  <c:v>0.0105354919053549</c:v>
                </c:pt>
                <c:pt idx="2" formatCode="0.0%">
                  <c:v>0.0131693648816936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0.00101992528019925</c:v>
                </c:pt>
                <c:pt idx="1">
                  <c:v>0.00101992528019925</c:v>
                </c:pt>
                <c:pt idx="2" formatCode="0.0%">
                  <c:v>0.00127490660024907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0.190582546300235</c:v>
                </c:pt>
                <c:pt idx="1">
                  <c:v>0.190582546300235</c:v>
                </c:pt>
                <c:pt idx="2" formatCode="0.0%">
                  <c:v>0.190582546300235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0.0378337079701121</c:v>
                </c:pt>
                <c:pt idx="1">
                  <c:v>0.0378337079701121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0.213548633405978</c:v>
                </c:pt>
                <c:pt idx="1">
                  <c:v>0.213548633405978</c:v>
                </c:pt>
                <c:pt idx="2" formatCode="0.0%">
                  <c:v>0.224969549369554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0.661258916562889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5691672"/>
        <c:axId val="2115368440"/>
      </c:barChart>
      <c:catAx>
        <c:axId val="2115691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5368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5368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56916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0.0616142945163278</c:v>
                </c:pt>
                <c:pt idx="1">
                  <c:v>0.0363524337646334</c:v>
                </c:pt>
                <c:pt idx="2">
                  <c:v>0.0338162946052371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0.00462107208872458</c:v>
                </c:pt>
                <c:pt idx="1">
                  <c:v>0.0027264325323475</c:v>
                </c:pt>
                <c:pt idx="2">
                  <c:v>0.00310685340625694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Chicken/ duck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0.000770178681454097</c:v>
                </c:pt>
                <c:pt idx="1">
                  <c:v>0.000908810844115834</c:v>
                </c:pt>
                <c:pt idx="2">
                  <c:v>0.000908810844115834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0.00269562538508934</c:v>
                </c:pt>
                <c:pt idx="1">
                  <c:v>0.00113216266173752</c:v>
                </c:pt>
                <c:pt idx="2">
                  <c:v>0.000974191281893772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0.00154035736290819</c:v>
                </c:pt>
                <c:pt idx="1">
                  <c:v>0.000431300061614294</c:v>
                </c:pt>
                <c:pt idx="2">
                  <c:v>0.000509533506870247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0.00215650030807147</c:v>
                </c:pt>
                <c:pt idx="1">
                  <c:v>0.000603820086260012</c:v>
                </c:pt>
                <c:pt idx="2">
                  <c:v>0.000519568683676678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0.000462107208872458</c:v>
                </c:pt>
                <c:pt idx="1">
                  <c:v>0.000129390018484288</c:v>
                </c:pt>
                <c:pt idx="2">
                  <c:v>0.000111336146502145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0.831792975970425</c:v>
                </c:pt>
                <c:pt idx="1">
                  <c:v>0.588909426987061</c:v>
                </c:pt>
                <c:pt idx="2">
                  <c:v>0.588909426987061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0.0646950092421442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Gifts/social support: type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0.0192544670363524</c:v>
                </c:pt>
                <c:pt idx="1">
                  <c:v>0.0192544670363524</c:v>
                </c:pt>
                <c:pt idx="2">
                  <c:v>0.0192544670363524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0.0103974121996303</c:v>
                </c:pt>
                <c:pt idx="1">
                  <c:v>0.0115411275415896</c:v>
                </c:pt>
                <c:pt idx="2">
                  <c:v>0.0115411275415896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9671480"/>
        <c:axId val="2089667960"/>
      </c:barChart>
      <c:catAx>
        <c:axId val="2089671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9667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9667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96714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0.0462487628455939</c:v>
                </c:pt>
                <c:pt idx="1">
                  <c:v>0.0272867700789004</c:v>
                </c:pt>
                <c:pt idx="2">
                  <c:v>0.0274364907501211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0.0083247773122069</c:v>
                </c:pt>
                <c:pt idx="1">
                  <c:v>0.00491161861420207</c:v>
                </c:pt>
                <c:pt idx="2">
                  <c:v>0.00495653481556829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Chicken/ duck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0.00582734411854483</c:v>
                </c:pt>
                <c:pt idx="1">
                  <c:v>0.00163165635319255</c:v>
                </c:pt>
                <c:pt idx="2">
                  <c:v>0.00163165635319255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0.000749229958098621</c:v>
                </c:pt>
                <c:pt idx="1">
                  <c:v>0.000209784388267614</c:v>
                </c:pt>
                <c:pt idx="2">
                  <c:v>0.000204029024160348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0.0924975256911877</c:v>
                </c:pt>
                <c:pt idx="1">
                  <c:v>0.0258993071935326</c:v>
                </c:pt>
                <c:pt idx="2">
                  <c:v>0.0258993071935326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0.665982184976552</c:v>
                </c:pt>
                <c:pt idx="1">
                  <c:v>0.471515386963399</c:v>
                </c:pt>
                <c:pt idx="2">
                  <c:v>0.471515386963399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0.110997030829425</c:v>
                </c:pt>
                <c:pt idx="1">
                  <c:v>0.104781197102977</c:v>
                </c:pt>
                <c:pt idx="2">
                  <c:v>0.104781197102977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0.0388489607902989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Gifts/social support: type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0.030524183478092</c:v>
                </c:pt>
                <c:pt idx="1">
                  <c:v>0.030524183478092</c:v>
                </c:pt>
                <c:pt idx="2">
                  <c:v>0.030524183478092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9228824"/>
        <c:axId val="2089205672"/>
      </c:barChart>
      <c:catAx>
        <c:axId val="2089228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9205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9205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92288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Chicken/ duck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0.00151956439154109</c:v>
                </c:pt>
                <c:pt idx="1">
                  <c:v>0.000425478029631505</c:v>
                </c:pt>
                <c:pt idx="2">
                  <c:v>0.000425478029631505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0.0221603140433076</c:v>
                </c:pt>
                <c:pt idx="1">
                  <c:v>0.0122989742940357</c:v>
                </c:pt>
                <c:pt idx="2">
                  <c:v>0.0122989742940357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0.12536406230214</c:v>
                </c:pt>
                <c:pt idx="1">
                  <c:v>0.0695770545776877</c:v>
                </c:pt>
                <c:pt idx="2">
                  <c:v>0.0695770545776877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0.121565151323287</c:v>
                </c:pt>
                <c:pt idx="1">
                  <c:v>0.114757502849183</c:v>
                </c:pt>
                <c:pt idx="2">
                  <c:v>0.114757502849183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0.50145624920856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0.227934658731164</c:v>
                </c:pt>
                <c:pt idx="1">
                  <c:v>0.268962897302773</c:v>
                </c:pt>
                <c:pt idx="2">
                  <c:v>0.268962897302773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Gifts/social support: type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9965368"/>
        <c:axId val="2079543208"/>
      </c:barChart>
      <c:catAx>
        <c:axId val="2079965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9543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9543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99653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ZASCO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1993.752285051856</c:v>
                </c:pt>
                <c:pt idx="1">
                  <c:v>3448.175603547072</c:v>
                </c:pt>
                <c:pt idx="2">
                  <c:v>2491.130118361897</c:v>
                </c:pt>
                <c:pt idx="3">
                  <c:v>2112.904554101895</c:v>
                </c:pt>
                <c:pt idx="4">
                  <c:v>531.1853918346738</c:v>
                </c:pt>
                <c:pt idx="5">
                  <c:v>1105.239603043162</c:v>
                </c:pt>
                <c:pt idx="6">
                  <c:v>651.415578580992</c:v>
                </c:pt>
                <c:pt idx="7">
                  <c:v>554.7236095672965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73.38831253090055</c:v>
                </c:pt>
                <c:pt idx="1">
                  <c:v>2906.482960859207</c:v>
                </c:pt>
                <c:pt idx="2">
                  <c:v>1555.133289345273</c:v>
                </c:pt>
                <c:pt idx="3">
                  <c:v>52404.1477012317</c:v>
                </c:pt>
                <c:pt idx="4">
                  <c:v>13.44</c:v>
                </c:pt>
                <c:pt idx="5">
                  <c:v>145.04</c:v>
                </c:pt>
                <c:pt idx="6">
                  <c:v>313.786868255473</c:v>
                </c:pt>
                <c:pt idx="7">
                  <c:v>9595.064901859195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640.425887763899</c:v>
                </c:pt>
                <c:pt idx="2">
                  <c:v>731.9153003015988</c:v>
                </c:pt>
                <c:pt idx="3">
                  <c:v>2711.028984182454</c:v>
                </c:pt>
                <c:pt idx="4">
                  <c:v>0.0</c:v>
                </c:pt>
                <c:pt idx="5">
                  <c:v>138.2283596984034</c:v>
                </c:pt>
                <c:pt idx="6">
                  <c:v>157.9752682267467</c:v>
                </c:pt>
                <c:pt idx="7">
                  <c:v>585.1435688941455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7413.748488798682</c:v>
                </c:pt>
                <c:pt idx="2">
                  <c:v>15201.86473854368</c:v>
                </c:pt>
                <c:pt idx="3">
                  <c:v>28866.06959548754</c:v>
                </c:pt>
                <c:pt idx="4">
                  <c:v>0.0</c:v>
                </c:pt>
                <c:pt idx="5">
                  <c:v>3007.82</c:v>
                </c:pt>
                <c:pt idx="6">
                  <c:v>5613.830328928446</c:v>
                </c:pt>
                <c:pt idx="7">
                  <c:v>11206.5356381832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1178.925965619884</c:v>
                </c:pt>
                <c:pt idx="1">
                  <c:v>365.1780983871474</c:v>
                </c:pt>
                <c:pt idx="2">
                  <c:v>0.0</c:v>
                </c:pt>
                <c:pt idx="3">
                  <c:v>0.0</c:v>
                </c:pt>
                <c:pt idx="4">
                  <c:v>535.1077364205725</c:v>
                </c:pt>
                <c:pt idx="5">
                  <c:v>492.6211067342001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6054.535783799295</c:v>
                </c:pt>
                <c:pt idx="1">
                  <c:v>0.0</c:v>
                </c:pt>
                <c:pt idx="2">
                  <c:v>188712.8036508871</c:v>
                </c:pt>
                <c:pt idx="3">
                  <c:v>352263.9001483225</c:v>
                </c:pt>
                <c:pt idx="4">
                  <c:v>2197.8</c:v>
                </c:pt>
                <c:pt idx="5">
                  <c:v>0.0</c:v>
                </c:pt>
                <c:pt idx="6">
                  <c:v>87387.42857142857</c:v>
                </c:pt>
                <c:pt idx="7">
                  <c:v>163123.2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5871.065002472043</c:v>
                </c:pt>
                <c:pt idx="1">
                  <c:v>0.0</c:v>
                </c:pt>
                <c:pt idx="2">
                  <c:v>0.0</c:v>
                </c:pt>
                <c:pt idx="3">
                  <c:v>58710.65002472042</c:v>
                </c:pt>
                <c:pt idx="4">
                  <c:v>3624.96</c:v>
                </c:pt>
                <c:pt idx="5">
                  <c:v>0.0</c:v>
                </c:pt>
                <c:pt idx="6">
                  <c:v>0.0</c:v>
                </c:pt>
                <c:pt idx="7">
                  <c:v>36249.6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16145.42875679812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10560.0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24218.14313519718</c:v>
                </c:pt>
                <c:pt idx="1">
                  <c:v>49904.05252101237</c:v>
                </c:pt>
                <c:pt idx="2">
                  <c:v>14677.66250618011</c:v>
                </c:pt>
                <c:pt idx="3">
                  <c:v>20548.72750865215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5743.606515712034</c:v>
                </c:pt>
                <c:pt idx="1">
                  <c:v>6022.852375308917</c:v>
                </c:pt>
                <c:pt idx="2">
                  <c:v>4832.033567137551</c:v>
                </c:pt>
                <c:pt idx="3">
                  <c:v>1504.872820885252</c:v>
                </c:pt>
                <c:pt idx="4">
                  <c:v>6198.447959310383</c:v>
                </c:pt>
                <c:pt idx="5">
                  <c:v>6499.807553465937</c:v>
                </c:pt>
                <c:pt idx="6">
                  <c:v>5214.686716718788</c:v>
                </c:pt>
                <c:pt idx="7">
                  <c:v>1624.045073443105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11008.24687963508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8496.0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3518.052231950045</c:v>
                </c:pt>
                <c:pt idx="2">
                  <c:v>4368.351936363126</c:v>
                </c:pt>
                <c:pt idx="3">
                  <c:v>0.0</c:v>
                </c:pt>
                <c:pt idx="4">
                  <c:v>0.0</c:v>
                </c:pt>
                <c:pt idx="5">
                  <c:v>2301.0</c:v>
                </c:pt>
                <c:pt idx="6">
                  <c:v>2857.142857142857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1299.584701068031</c:v>
                </c:pt>
                <c:pt idx="2">
                  <c:v>2358.910045636089</c:v>
                </c:pt>
                <c:pt idx="3">
                  <c:v>0.0</c:v>
                </c:pt>
                <c:pt idx="4">
                  <c:v>0.0</c:v>
                </c:pt>
                <c:pt idx="5">
                  <c:v>943.5000000000002</c:v>
                </c:pt>
                <c:pt idx="6">
                  <c:v>1712.571428571429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9672136"/>
        <c:axId val="2089525512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47494.88785213397</c:v>
                </c:pt>
                <c:pt idx="1">
                  <c:v>47494.88785213397</c:v>
                </c:pt>
                <c:pt idx="2">
                  <c:v>47494.88785213397</c:v>
                </c:pt>
                <c:pt idx="3">
                  <c:v>47494.88785213397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47494.88785213397</c:v>
                </c:pt>
                <c:pt idx="5" formatCode="#,##0">
                  <c:v>47494.88785213397</c:v>
                </c:pt>
                <c:pt idx="6" formatCode="#,##0">
                  <c:v>47494.88785213397</c:v>
                </c:pt>
                <c:pt idx="7" formatCode="#,##0">
                  <c:v>47494.88785213397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63918.91451880065</c:v>
                </c:pt>
                <c:pt idx="1">
                  <c:v>63918.91451880065</c:v>
                </c:pt>
                <c:pt idx="2">
                  <c:v>63918.91451880063</c:v>
                </c:pt>
                <c:pt idx="3">
                  <c:v>63918.91451880064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63918.91451880065</c:v>
                </c:pt>
                <c:pt idx="5" formatCode="#,##0">
                  <c:v>63918.91451880065</c:v>
                </c:pt>
                <c:pt idx="6" formatCode="#,##0">
                  <c:v>63918.91451880063</c:v>
                </c:pt>
                <c:pt idx="7" formatCode="#,##0">
                  <c:v>63918.91451880064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96656.83451880064</c:v>
                </c:pt>
                <c:pt idx="1">
                  <c:v>96656.83451880064</c:v>
                </c:pt>
                <c:pt idx="2">
                  <c:v>96656.83451880063</c:v>
                </c:pt>
                <c:pt idx="3">
                  <c:v>96656.83451880064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96656.83451880064</c:v>
                </c:pt>
                <c:pt idx="5" formatCode="#,##0">
                  <c:v>96656.83451880064</c:v>
                </c:pt>
                <c:pt idx="6" formatCode="#,##0">
                  <c:v>96656.83451880063</c:v>
                </c:pt>
                <c:pt idx="7" formatCode="#,##0">
                  <c:v>96656.83451880064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672136"/>
        <c:axId val="2089525512"/>
      </c:lineChart>
      <c:catAx>
        <c:axId val="2079672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9525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9525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96721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ZASCO - Baseline Total Income</a:t>
            </a:r>
          </a:p>
        </c:rich>
      </c:tx>
      <c:layout>
        <c:manualLayout>
          <c:xMode val="edge"/>
          <c:yMode val="edge"/>
          <c:x val="0.1831669259265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1993.752285051856</c:v>
                </c:pt>
                <c:pt idx="1">
                  <c:v>3448.175603547072</c:v>
                </c:pt>
                <c:pt idx="2">
                  <c:v>2491.130118361897</c:v>
                </c:pt>
                <c:pt idx="3">
                  <c:v>2112.904554101895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73.38831253090055</c:v>
                </c:pt>
                <c:pt idx="1">
                  <c:v>2906.482960859207</c:v>
                </c:pt>
                <c:pt idx="2">
                  <c:v>1555.133289345273</c:v>
                </c:pt>
                <c:pt idx="3">
                  <c:v>52404.1477012317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640.425887763899</c:v>
                </c:pt>
                <c:pt idx="2">
                  <c:v>731.9153003015988</c:v>
                </c:pt>
                <c:pt idx="3">
                  <c:v>2711.028984182454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7413.748488798682</c:v>
                </c:pt>
                <c:pt idx="2">
                  <c:v>15201.86473854368</c:v>
                </c:pt>
                <c:pt idx="3">
                  <c:v>28866.06959548754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1178.925965619884</c:v>
                </c:pt>
                <c:pt idx="1">
                  <c:v>365.1780983871474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6054.535783799295</c:v>
                </c:pt>
                <c:pt idx="1">
                  <c:v>0.0</c:v>
                </c:pt>
                <c:pt idx="2">
                  <c:v>188712.8036508871</c:v>
                </c:pt>
                <c:pt idx="3">
                  <c:v>352263.9001483225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5871.065002472043</c:v>
                </c:pt>
                <c:pt idx="1">
                  <c:v>0.0</c:v>
                </c:pt>
                <c:pt idx="2">
                  <c:v>0.0</c:v>
                </c:pt>
                <c:pt idx="3">
                  <c:v>58710.65002472042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16145.42875679812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24218.14313519718</c:v>
                </c:pt>
                <c:pt idx="1">
                  <c:v>49904.05252101237</c:v>
                </c:pt>
                <c:pt idx="2">
                  <c:v>14677.66250618011</c:v>
                </c:pt>
                <c:pt idx="3">
                  <c:v>20548.72750865215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5743.606515712034</c:v>
                </c:pt>
                <c:pt idx="1">
                  <c:v>6022.852375308917</c:v>
                </c:pt>
                <c:pt idx="2">
                  <c:v>4832.033567137551</c:v>
                </c:pt>
                <c:pt idx="3">
                  <c:v>1504.872820885252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11008.24687963508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3518.052231950045</c:v>
                </c:pt>
                <c:pt idx="2">
                  <c:v>4368.351936363126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1299.584701068031</c:v>
                </c:pt>
                <c:pt idx="2">
                  <c:v>2358.910045636089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0246264"/>
        <c:axId val="2080228904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47494.88785213397</c:v>
                </c:pt>
                <c:pt idx="1">
                  <c:v>47494.88785213397</c:v>
                </c:pt>
                <c:pt idx="2">
                  <c:v>47494.88785213397</c:v>
                </c:pt>
                <c:pt idx="3">
                  <c:v>47494.88785213397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63918.91451880065</c:v>
                </c:pt>
                <c:pt idx="1">
                  <c:v>63918.91451880065</c:v>
                </c:pt>
                <c:pt idx="2">
                  <c:v>63918.91451880063</c:v>
                </c:pt>
                <c:pt idx="3">
                  <c:v>63918.91451880064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96656.83451880064</c:v>
                </c:pt>
                <c:pt idx="1">
                  <c:v>96656.83451880064</c:v>
                </c:pt>
                <c:pt idx="2">
                  <c:v>96656.83451880063</c:v>
                </c:pt>
                <c:pt idx="3">
                  <c:v>96656.83451880064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246264"/>
        <c:axId val="2080228904"/>
      </c:lineChart>
      <c:catAx>
        <c:axId val="2080246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0228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0228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02462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1993.752285051856</c:v>
                </c:pt>
                <c:pt idx="1">
                  <c:v>1993.752285051856</c:v>
                </c:pt>
                <c:pt idx="2">
                  <c:v>1993.752285051856</c:v>
                </c:pt>
                <c:pt idx="3">
                  <c:v>1993.752285051856</c:v>
                </c:pt>
                <c:pt idx="4">
                  <c:v>1993.752285051856</c:v>
                </c:pt>
                <c:pt idx="5">
                  <c:v>1993.752285051856</c:v>
                </c:pt>
                <c:pt idx="6">
                  <c:v>1993.752285051856</c:v>
                </c:pt>
                <c:pt idx="7">
                  <c:v>1993.752285051856</c:v>
                </c:pt>
                <c:pt idx="8">
                  <c:v>1993.752285051856</c:v>
                </c:pt>
                <c:pt idx="9">
                  <c:v>1993.752285051856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73.38831253090055</c:v>
                </c:pt>
                <c:pt idx="1">
                  <c:v>73.38831253090055</c:v>
                </c:pt>
                <c:pt idx="2">
                  <c:v>73.38831253090055</c:v>
                </c:pt>
                <c:pt idx="3">
                  <c:v>73.38831253090055</c:v>
                </c:pt>
                <c:pt idx="4">
                  <c:v>73.38831253090055</c:v>
                </c:pt>
                <c:pt idx="5">
                  <c:v>73.38831253090055</c:v>
                </c:pt>
                <c:pt idx="6">
                  <c:v>73.38831253090055</c:v>
                </c:pt>
                <c:pt idx="7">
                  <c:v>73.38831253090055</c:v>
                </c:pt>
                <c:pt idx="8">
                  <c:v>73.38831253090055</c:v>
                </c:pt>
                <c:pt idx="9">
                  <c:v>73.38831253090055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1178.925965619884</c:v>
                </c:pt>
                <c:pt idx="1">
                  <c:v>1178.925965619884</c:v>
                </c:pt>
                <c:pt idx="2">
                  <c:v>1178.925965619884</c:v>
                </c:pt>
                <c:pt idx="3">
                  <c:v>1178.925965619884</c:v>
                </c:pt>
                <c:pt idx="4">
                  <c:v>1178.925965619884</c:v>
                </c:pt>
                <c:pt idx="5">
                  <c:v>1178.925965619884</c:v>
                </c:pt>
                <c:pt idx="6">
                  <c:v>1178.925965619884</c:v>
                </c:pt>
                <c:pt idx="7">
                  <c:v>1178.925965619884</c:v>
                </c:pt>
                <c:pt idx="8">
                  <c:v>1178.925965619884</c:v>
                </c:pt>
                <c:pt idx="9">
                  <c:v>1178.925965619884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6054.535783799295</c:v>
                </c:pt>
                <c:pt idx="1">
                  <c:v>6054.535783799295</c:v>
                </c:pt>
                <c:pt idx="2">
                  <c:v>6054.535783799295</c:v>
                </c:pt>
                <c:pt idx="3">
                  <c:v>6054.535783799295</c:v>
                </c:pt>
                <c:pt idx="4">
                  <c:v>6054.535783799295</c:v>
                </c:pt>
                <c:pt idx="5">
                  <c:v>6054.535783799295</c:v>
                </c:pt>
                <c:pt idx="6">
                  <c:v>6054.535783799295</c:v>
                </c:pt>
                <c:pt idx="7">
                  <c:v>6054.535783799295</c:v>
                </c:pt>
                <c:pt idx="8">
                  <c:v>6054.535783799295</c:v>
                </c:pt>
                <c:pt idx="9">
                  <c:v>6054.535783799295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5871.065002472043</c:v>
                </c:pt>
                <c:pt idx="1">
                  <c:v>5871.065002472043</c:v>
                </c:pt>
                <c:pt idx="2">
                  <c:v>5871.065002472043</c:v>
                </c:pt>
                <c:pt idx="3">
                  <c:v>5871.065002472043</c:v>
                </c:pt>
                <c:pt idx="4">
                  <c:v>5871.065002472043</c:v>
                </c:pt>
                <c:pt idx="5">
                  <c:v>5871.065002472043</c:v>
                </c:pt>
                <c:pt idx="6">
                  <c:v>5871.065002472043</c:v>
                </c:pt>
                <c:pt idx="7">
                  <c:v>5871.065002472043</c:v>
                </c:pt>
                <c:pt idx="8">
                  <c:v>5871.065002472043</c:v>
                </c:pt>
                <c:pt idx="9">
                  <c:v>5871.065002472043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24218.14313519718</c:v>
                </c:pt>
                <c:pt idx="1">
                  <c:v>24218.14313519718</c:v>
                </c:pt>
                <c:pt idx="2">
                  <c:v>24218.14313519718</c:v>
                </c:pt>
                <c:pt idx="3">
                  <c:v>24218.14313519718</c:v>
                </c:pt>
                <c:pt idx="4">
                  <c:v>24218.14313519718</c:v>
                </c:pt>
                <c:pt idx="5">
                  <c:v>24218.14313519718</c:v>
                </c:pt>
                <c:pt idx="6">
                  <c:v>24218.14313519718</c:v>
                </c:pt>
                <c:pt idx="7">
                  <c:v>24218.14313519718</c:v>
                </c:pt>
                <c:pt idx="8">
                  <c:v>24218.14313519718</c:v>
                </c:pt>
                <c:pt idx="9">
                  <c:v>24218.14313519718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5743.606515712034</c:v>
                </c:pt>
                <c:pt idx="1">
                  <c:v>5743.606515712034</c:v>
                </c:pt>
                <c:pt idx="2">
                  <c:v>5743.606515712034</c:v>
                </c:pt>
                <c:pt idx="3">
                  <c:v>5743.606515712034</c:v>
                </c:pt>
                <c:pt idx="4">
                  <c:v>5743.606515712034</c:v>
                </c:pt>
                <c:pt idx="5">
                  <c:v>5743.606515712034</c:v>
                </c:pt>
                <c:pt idx="6">
                  <c:v>5743.606515712034</c:v>
                </c:pt>
                <c:pt idx="7">
                  <c:v>5743.606515712034</c:v>
                </c:pt>
                <c:pt idx="8">
                  <c:v>5743.606515712034</c:v>
                </c:pt>
                <c:pt idx="9">
                  <c:v>5743.606515712034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9996920"/>
        <c:axId val="2079993416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47494.88785213397</c:v>
                </c:pt>
                <c:pt idx="1">
                  <c:v>47494.88785213397</c:v>
                </c:pt>
                <c:pt idx="2">
                  <c:v>47494.88785213397</c:v>
                </c:pt>
                <c:pt idx="3">
                  <c:v>47494.88785213397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63918.91451880065</c:v>
                </c:pt>
                <c:pt idx="1">
                  <c:v>63918.91451880065</c:v>
                </c:pt>
                <c:pt idx="2">
                  <c:v>63918.91451880063</c:v>
                </c:pt>
                <c:pt idx="3">
                  <c:v>63918.91451880064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996920"/>
        <c:axId val="2079993416"/>
      </c:lineChart>
      <c:catAx>
        <c:axId val="207999692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9993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9993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99969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0.353650692688463</c:v>
                </c:pt>
                <c:pt idx="1">
                  <c:v>0.159483792106438</c:v>
                </c:pt>
                <c:pt idx="2">
                  <c:v>0.150381044169154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0.327182404425535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0.65217084694765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0.086152182600315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0.32129004959921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-0.730805162816825</c:v>
                </c:pt>
                <c:pt idx="2">
                  <c:v>-0.730805162816825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9874264"/>
        <c:axId val="2079866680"/>
      </c:barChart>
      <c:catAx>
        <c:axId val="2079874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9866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9866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98742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0.101386878873632</c:v>
                </c:pt>
                <c:pt idx="1">
                  <c:v>0.141941630423085</c:v>
                </c:pt>
                <c:pt idx="2">
                  <c:v>0.141941630423085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0.103014502132088</c:v>
                </c:pt>
                <c:pt idx="1">
                  <c:v>0.0596168227193561</c:v>
                </c:pt>
                <c:pt idx="2">
                  <c:v>0.117665179868206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0.0234326863832409</c:v>
                </c:pt>
                <c:pt idx="1">
                  <c:v>0.0276505699322243</c:v>
                </c:pt>
                <c:pt idx="2">
                  <c:v>0.0276505699322243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0.186968576709797</c:v>
                </c:pt>
                <c:pt idx="1">
                  <c:v>0.22062292051756</c:v>
                </c:pt>
                <c:pt idx="2">
                  <c:v>0.22062292051756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0.491398577918084</c:v>
                </c:pt>
                <c:pt idx="1">
                  <c:v>0.101474869921843</c:v>
                </c:pt>
                <c:pt idx="2">
                  <c:v>0.0410887512783533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0.103014502132088</c:v>
                </c:pt>
                <c:pt idx="1">
                  <c:v>0.0596168227193561</c:v>
                </c:pt>
                <c:pt idx="2">
                  <c:v>0.117665179868206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9812920"/>
        <c:axId val="2079797672"/>
      </c:barChart>
      <c:catAx>
        <c:axId val="2079812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9797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9797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98129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0.0434872900238525</c:v>
                </c:pt>
                <c:pt idx="1">
                  <c:v>0.0608822060333936</c:v>
                </c:pt>
                <c:pt idx="2">
                  <c:v>0.0608822060333936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0.0511833105625867</c:v>
                </c:pt>
                <c:pt idx="1">
                  <c:v>0.0324207154420098</c:v>
                </c:pt>
                <c:pt idx="2">
                  <c:v>0.0450726711654766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0.100995735864066</c:v>
                </c:pt>
                <c:pt idx="1">
                  <c:v>0.119174968319597</c:v>
                </c:pt>
                <c:pt idx="2">
                  <c:v>0.119174968319597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0.683905739163139</c:v>
                </c:pt>
                <c:pt idx="1">
                  <c:v>0.312177063601662</c:v>
                </c:pt>
                <c:pt idx="2">
                  <c:v>0.299713989386675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0.0511833105625867</c:v>
                </c:pt>
                <c:pt idx="1">
                  <c:v>0.0324207154420098</c:v>
                </c:pt>
                <c:pt idx="2">
                  <c:v>0.0450726711654766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9743928"/>
        <c:axId val="2079739944"/>
      </c:barChart>
      <c:catAx>
        <c:axId val="2079743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9739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9739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97439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0.476277514171835</c:v>
                </c:pt>
                <c:pt idx="1">
                  <c:v>0.466021907053311</c:v>
                </c:pt>
                <c:pt idx="2">
                  <c:v>0.466021907053311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0.440631463424929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0.878308218310751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0.0667975180448271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0.381263738102942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-0.720711739628674</c:v>
                </c:pt>
                <c:pt idx="2">
                  <c:v>-0.720711739628674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9576360"/>
        <c:axId val="2079571304"/>
      </c:barChart>
      <c:catAx>
        <c:axId val="2079576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9571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9571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95763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0.0231601694538338</c:v>
                </c:pt>
                <c:pt idx="1">
                  <c:v>0.00463203389076677</c:v>
                </c:pt>
                <c:pt idx="2" formatCode="0.0%">
                  <c:v>0.00463203389076677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0.00583333333333333</c:v>
                </c:pt>
                <c:pt idx="1">
                  <c:v>0.00116666666666667</c:v>
                </c:pt>
                <c:pt idx="2" formatCode="0.0%">
                  <c:v>0.00116666666666667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0.0162227361679416</c:v>
                </c:pt>
                <c:pt idx="1">
                  <c:v>0.00486682085038249</c:v>
                </c:pt>
                <c:pt idx="2" formatCode="0.0%">
                  <c:v>0.00628155131707061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0.0227253634584593</c:v>
                </c:pt>
                <c:pt idx="1">
                  <c:v>0.00454507269169187</c:v>
                </c:pt>
                <c:pt idx="2" formatCode="0.0%">
                  <c:v>0.00431606436749556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0.0144227005870841</c:v>
                </c:pt>
                <c:pt idx="1">
                  <c:v>0.00288454011741683</c:v>
                </c:pt>
                <c:pt idx="2" formatCode="0.0%">
                  <c:v>0.00339678958726946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0.00686488169364881</c:v>
                </c:pt>
                <c:pt idx="1">
                  <c:v>0.00137297633872976</c:v>
                </c:pt>
                <c:pt idx="2" formatCode="0.0%">
                  <c:v>0.00137297633872976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0.007453300124533</c:v>
                </c:pt>
                <c:pt idx="1">
                  <c:v>0.0014906600249066</c:v>
                </c:pt>
                <c:pt idx="2" formatCode="0.0%">
                  <c:v>0.0014906600249066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0.00387048567870486</c:v>
                </c:pt>
                <c:pt idx="1">
                  <c:v>0.000774097135740971</c:v>
                </c:pt>
                <c:pt idx="2" formatCode="0.0%">
                  <c:v>0.000788693117921304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0.0014346201743462</c:v>
                </c:pt>
                <c:pt idx="1">
                  <c:v>0.00028692403486924</c:v>
                </c:pt>
                <c:pt idx="2" formatCode="0.0%">
                  <c:v>0.00028692403486924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0.152901184297424</c:v>
                </c:pt>
                <c:pt idx="1">
                  <c:v>0.152901184297424</c:v>
                </c:pt>
                <c:pt idx="2" formatCode="0.0%">
                  <c:v>0.152901184297424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0.0432385233944138</c:v>
                </c:pt>
                <c:pt idx="1">
                  <c:v>0.0432385233944138</c:v>
                </c:pt>
                <c:pt idx="2" formatCode="0.0%">
                  <c:v>0.0372054245881529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0.282191064849671</c:v>
                </c:pt>
                <c:pt idx="1">
                  <c:v>0.282191064849671</c:v>
                </c:pt>
                <c:pt idx="2" formatCode="0.0%">
                  <c:v>0.274206910220095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0.739546341220423</c:v>
                </c:pt>
                <c:pt idx="1">
                  <c:v>0.259389210461366</c:v>
                </c:pt>
                <c:pt idx="2" formatCode="0.0%">
                  <c:v>0.511954121548633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5911096"/>
        <c:axId val="2115905768"/>
      </c:barChart>
      <c:catAx>
        <c:axId val="2115911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5905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5905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59110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1993.752285051856</c:v>
                </c:pt>
                <c:pt idx="1">
                  <c:v>1993.752285051856</c:v>
                </c:pt>
                <c:pt idx="2">
                  <c:v>1993.752285051856</c:v>
                </c:pt>
                <c:pt idx="3">
                  <c:v>1993.752285051856</c:v>
                </c:pt>
                <c:pt idx="4">
                  <c:v>1993.752285051856</c:v>
                </c:pt>
                <c:pt idx="5">
                  <c:v>1993.752285051856</c:v>
                </c:pt>
                <c:pt idx="6">
                  <c:v>1993.752285051856</c:v>
                </c:pt>
                <c:pt idx="7">
                  <c:v>1993.752285051856</c:v>
                </c:pt>
                <c:pt idx="8">
                  <c:v>1993.752285051856</c:v>
                </c:pt>
                <c:pt idx="9">
                  <c:v>1993.752285051856</c:v>
                </c:pt>
                <c:pt idx="10">
                  <c:v>1993.752285051856</c:v>
                </c:pt>
                <c:pt idx="11">
                  <c:v>1993.752285051856</c:v>
                </c:pt>
                <c:pt idx="12">
                  <c:v>1993.752285051856</c:v>
                </c:pt>
                <c:pt idx="13">
                  <c:v>1993.752285051856</c:v>
                </c:pt>
                <c:pt idx="14">
                  <c:v>1993.752285051856</c:v>
                </c:pt>
                <c:pt idx="15">
                  <c:v>1993.752285051856</c:v>
                </c:pt>
                <c:pt idx="16">
                  <c:v>1993.752285051856</c:v>
                </c:pt>
                <c:pt idx="17">
                  <c:v>1993.752285051856</c:v>
                </c:pt>
                <c:pt idx="18">
                  <c:v>1993.752285051856</c:v>
                </c:pt>
                <c:pt idx="19">
                  <c:v>1993.752285051856</c:v>
                </c:pt>
                <c:pt idx="20">
                  <c:v>1993.752285051856</c:v>
                </c:pt>
                <c:pt idx="21">
                  <c:v>1993.752285051856</c:v>
                </c:pt>
                <c:pt idx="22">
                  <c:v>1993.752285051856</c:v>
                </c:pt>
                <c:pt idx="23">
                  <c:v>1993.752285051856</c:v>
                </c:pt>
                <c:pt idx="24">
                  <c:v>1993.752285051856</c:v>
                </c:pt>
                <c:pt idx="25">
                  <c:v>1993.752285051856</c:v>
                </c:pt>
                <c:pt idx="26">
                  <c:v>1993.752285051856</c:v>
                </c:pt>
                <c:pt idx="27">
                  <c:v>1993.752285051856</c:v>
                </c:pt>
                <c:pt idx="28">
                  <c:v>1993.752285051856</c:v>
                </c:pt>
                <c:pt idx="29">
                  <c:v>3448.175603547072</c:v>
                </c:pt>
                <c:pt idx="30">
                  <c:v>3448.175603547072</c:v>
                </c:pt>
                <c:pt idx="31">
                  <c:v>3448.175603547072</c:v>
                </c:pt>
                <c:pt idx="32">
                  <c:v>3448.175603547072</c:v>
                </c:pt>
                <c:pt idx="33">
                  <c:v>3448.175603547072</c:v>
                </c:pt>
                <c:pt idx="34">
                  <c:v>3448.175603547072</c:v>
                </c:pt>
                <c:pt idx="35">
                  <c:v>3448.175603547072</c:v>
                </c:pt>
                <c:pt idx="36">
                  <c:v>3448.175603547072</c:v>
                </c:pt>
                <c:pt idx="37">
                  <c:v>3448.175603547072</c:v>
                </c:pt>
                <c:pt idx="38">
                  <c:v>3448.175603547072</c:v>
                </c:pt>
                <c:pt idx="39">
                  <c:v>3448.175603547072</c:v>
                </c:pt>
                <c:pt idx="40">
                  <c:v>3448.175603547072</c:v>
                </c:pt>
                <c:pt idx="41">
                  <c:v>3448.175603547072</c:v>
                </c:pt>
                <c:pt idx="42">
                  <c:v>3448.175603547072</c:v>
                </c:pt>
                <c:pt idx="43">
                  <c:v>3448.175603547072</c:v>
                </c:pt>
                <c:pt idx="44">
                  <c:v>3448.175603547072</c:v>
                </c:pt>
                <c:pt idx="45">
                  <c:v>3448.175603547072</c:v>
                </c:pt>
                <c:pt idx="46">
                  <c:v>3448.175603547072</c:v>
                </c:pt>
                <c:pt idx="47">
                  <c:v>3448.175603547072</c:v>
                </c:pt>
                <c:pt idx="48">
                  <c:v>3448.175603547072</c:v>
                </c:pt>
                <c:pt idx="49">
                  <c:v>3448.175603547072</c:v>
                </c:pt>
                <c:pt idx="50">
                  <c:v>3448.175603547072</c:v>
                </c:pt>
                <c:pt idx="51">
                  <c:v>3448.175603547072</c:v>
                </c:pt>
                <c:pt idx="52">
                  <c:v>3448.175603547072</c:v>
                </c:pt>
                <c:pt idx="53">
                  <c:v>3448.175603547072</c:v>
                </c:pt>
                <c:pt idx="54">
                  <c:v>3448.175603547072</c:v>
                </c:pt>
                <c:pt idx="55">
                  <c:v>3448.175603547072</c:v>
                </c:pt>
                <c:pt idx="56">
                  <c:v>3448.175603547072</c:v>
                </c:pt>
                <c:pt idx="57">
                  <c:v>3448.175603547072</c:v>
                </c:pt>
                <c:pt idx="58">
                  <c:v>3448.175603547072</c:v>
                </c:pt>
                <c:pt idx="59">
                  <c:v>3448.175603547072</c:v>
                </c:pt>
                <c:pt idx="60">
                  <c:v>3448.175603547072</c:v>
                </c:pt>
                <c:pt idx="61">
                  <c:v>3448.175603547072</c:v>
                </c:pt>
                <c:pt idx="62">
                  <c:v>3448.175603547072</c:v>
                </c:pt>
                <c:pt idx="63">
                  <c:v>3448.175603547072</c:v>
                </c:pt>
                <c:pt idx="64">
                  <c:v>3448.175603547072</c:v>
                </c:pt>
                <c:pt idx="65">
                  <c:v>3448.175603547072</c:v>
                </c:pt>
                <c:pt idx="66">
                  <c:v>3448.175603547072</c:v>
                </c:pt>
                <c:pt idx="67">
                  <c:v>3448.175603547072</c:v>
                </c:pt>
                <c:pt idx="68">
                  <c:v>3448.175603547072</c:v>
                </c:pt>
                <c:pt idx="69">
                  <c:v>3448.175603547072</c:v>
                </c:pt>
                <c:pt idx="70">
                  <c:v>3448.175603547072</c:v>
                </c:pt>
                <c:pt idx="71">
                  <c:v>2491.130118361897</c:v>
                </c:pt>
                <c:pt idx="72">
                  <c:v>2491.130118361897</c:v>
                </c:pt>
                <c:pt idx="73">
                  <c:v>2491.130118361897</c:v>
                </c:pt>
                <c:pt idx="74">
                  <c:v>2491.130118361897</c:v>
                </c:pt>
                <c:pt idx="75">
                  <c:v>2491.130118361897</c:v>
                </c:pt>
                <c:pt idx="76">
                  <c:v>2491.130118361897</c:v>
                </c:pt>
                <c:pt idx="77">
                  <c:v>2491.130118361897</c:v>
                </c:pt>
                <c:pt idx="78">
                  <c:v>2491.130118361897</c:v>
                </c:pt>
                <c:pt idx="79">
                  <c:v>2491.130118361897</c:v>
                </c:pt>
                <c:pt idx="80">
                  <c:v>2491.130118361897</c:v>
                </c:pt>
                <c:pt idx="81">
                  <c:v>2491.130118361897</c:v>
                </c:pt>
                <c:pt idx="82">
                  <c:v>2491.130118361897</c:v>
                </c:pt>
                <c:pt idx="83">
                  <c:v>2491.130118361897</c:v>
                </c:pt>
                <c:pt idx="84">
                  <c:v>2491.130118361897</c:v>
                </c:pt>
                <c:pt idx="85">
                  <c:v>2491.130118361897</c:v>
                </c:pt>
                <c:pt idx="86">
                  <c:v>2491.130118361897</c:v>
                </c:pt>
                <c:pt idx="87">
                  <c:v>2491.130118361897</c:v>
                </c:pt>
                <c:pt idx="88">
                  <c:v>2491.130118361897</c:v>
                </c:pt>
                <c:pt idx="89">
                  <c:v>2112.904554101895</c:v>
                </c:pt>
                <c:pt idx="90">
                  <c:v>2112.904554101895</c:v>
                </c:pt>
                <c:pt idx="91">
                  <c:v>2112.904554101895</c:v>
                </c:pt>
                <c:pt idx="92">
                  <c:v>2112.904554101895</c:v>
                </c:pt>
                <c:pt idx="93">
                  <c:v>2112.904554101895</c:v>
                </c:pt>
                <c:pt idx="94">
                  <c:v>2112.904554101895</c:v>
                </c:pt>
                <c:pt idx="95">
                  <c:v>2112.904554101895</c:v>
                </c:pt>
                <c:pt idx="96">
                  <c:v>2112.904554101895</c:v>
                </c:pt>
                <c:pt idx="97">
                  <c:v>2112.904554101895</c:v>
                </c:pt>
                <c:pt idx="98">
                  <c:v>2112.904554101895</c:v>
                </c:pt>
                <c:pt idx="99">
                  <c:v>2112.904554101895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73.38831253090055</c:v>
                </c:pt>
                <c:pt idx="1">
                  <c:v>73.38831253090055</c:v>
                </c:pt>
                <c:pt idx="2">
                  <c:v>73.38831253090055</c:v>
                </c:pt>
                <c:pt idx="3">
                  <c:v>73.38831253090055</c:v>
                </c:pt>
                <c:pt idx="4">
                  <c:v>73.38831253090055</c:v>
                </c:pt>
                <c:pt idx="5">
                  <c:v>73.38831253090055</c:v>
                </c:pt>
                <c:pt idx="6">
                  <c:v>73.38831253090055</c:v>
                </c:pt>
                <c:pt idx="7">
                  <c:v>73.38831253090055</c:v>
                </c:pt>
                <c:pt idx="8">
                  <c:v>73.38831253090055</c:v>
                </c:pt>
                <c:pt idx="9">
                  <c:v>73.38831253090055</c:v>
                </c:pt>
                <c:pt idx="10">
                  <c:v>73.38831253090055</c:v>
                </c:pt>
                <c:pt idx="11">
                  <c:v>73.38831253090055</c:v>
                </c:pt>
                <c:pt idx="12">
                  <c:v>73.38831253090055</c:v>
                </c:pt>
                <c:pt idx="13">
                  <c:v>73.38831253090055</c:v>
                </c:pt>
                <c:pt idx="14">
                  <c:v>73.38831253090055</c:v>
                </c:pt>
                <c:pt idx="15">
                  <c:v>73.38831253090055</c:v>
                </c:pt>
                <c:pt idx="16">
                  <c:v>73.38831253090055</c:v>
                </c:pt>
                <c:pt idx="17">
                  <c:v>73.38831253090055</c:v>
                </c:pt>
                <c:pt idx="18">
                  <c:v>73.38831253090055</c:v>
                </c:pt>
                <c:pt idx="19">
                  <c:v>73.38831253090055</c:v>
                </c:pt>
                <c:pt idx="20">
                  <c:v>73.38831253090055</c:v>
                </c:pt>
                <c:pt idx="21">
                  <c:v>73.38831253090055</c:v>
                </c:pt>
                <c:pt idx="22">
                  <c:v>73.38831253090055</c:v>
                </c:pt>
                <c:pt idx="23">
                  <c:v>73.38831253090055</c:v>
                </c:pt>
                <c:pt idx="24">
                  <c:v>73.38831253090055</c:v>
                </c:pt>
                <c:pt idx="25">
                  <c:v>73.38831253090055</c:v>
                </c:pt>
                <c:pt idx="26">
                  <c:v>73.38831253090055</c:v>
                </c:pt>
                <c:pt idx="27">
                  <c:v>73.38831253090055</c:v>
                </c:pt>
                <c:pt idx="28">
                  <c:v>73.38831253090055</c:v>
                </c:pt>
                <c:pt idx="29">
                  <c:v>2906.482960859207</c:v>
                </c:pt>
                <c:pt idx="30">
                  <c:v>2906.482960859207</c:v>
                </c:pt>
                <c:pt idx="31">
                  <c:v>2906.482960859207</c:v>
                </c:pt>
                <c:pt idx="32">
                  <c:v>2906.482960859207</c:v>
                </c:pt>
                <c:pt idx="33">
                  <c:v>2906.482960859207</c:v>
                </c:pt>
                <c:pt idx="34">
                  <c:v>2906.482960859207</c:v>
                </c:pt>
                <c:pt idx="35">
                  <c:v>2906.482960859207</c:v>
                </c:pt>
                <c:pt idx="36">
                  <c:v>2906.482960859207</c:v>
                </c:pt>
                <c:pt idx="37">
                  <c:v>2906.482960859207</c:v>
                </c:pt>
                <c:pt idx="38">
                  <c:v>2906.482960859207</c:v>
                </c:pt>
                <c:pt idx="39">
                  <c:v>2906.482960859207</c:v>
                </c:pt>
                <c:pt idx="40">
                  <c:v>2906.482960859207</c:v>
                </c:pt>
                <c:pt idx="41">
                  <c:v>2906.482960859207</c:v>
                </c:pt>
                <c:pt idx="42">
                  <c:v>2906.482960859207</c:v>
                </c:pt>
                <c:pt idx="43">
                  <c:v>2906.482960859207</c:v>
                </c:pt>
                <c:pt idx="44">
                  <c:v>2906.482960859207</c:v>
                </c:pt>
                <c:pt idx="45">
                  <c:v>2906.482960859207</c:v>
                </c:pt>
                <c:pt idx="46">
                  <c:v>2906.482960859207</c:v>
                </c:pt>
                <c:pt idx="47">
                  <c:v>2906.482960859207</c:v>
                </c:pt>
                <c:pt idx="48">
                  <c:v>2906.482960859207</c:v>
                </c:pt>
                <c:pt idx="49">
                  <c:v>2906.482960859207</c:v>
                </c:pt>
                <c:pt idx="50">
                  <c:v>2906.482960859207</c:v>
                </c:pt>
                <c:pt idx="51">
                  <c:v>2906.482960859207</c:v>
                </c:pt>
                <c:pt idx="52">
                  <c:v>2906.482960859207</c:v>
                </c:pt>
                <c:pt idx="53">
                  <c:v>2906.482960859207</c:v>
                </c:pt>
                <c:pt idx="54">
                  <c:v>2906.482960859207</c:v>
                </c:pt>
                <c:pt idx="55">
                  <c:v>2906.482960859207</c:v>
                </c:pt>
                <c:pt idx="56">
                  <c:v>2906.482960859207</c:v>
                </c:pt>
                <c:pt idx="57">
                  <c:v>2906.482960859207</c:v>
                </c:pt>
                <c:pt idx="58">
                  <c:v>2906.482960859207</c:v>
                </c:pt>
                <c:pt idx="59">
                  <c:v>2906.482960859207</c:v>
                </c:pt>
                <c:pt idx="60">
                  <c:v>2906.482960859207</c:v>
                </c:pt>
                <c:pt idx="61">
                  <c:v>2906.482960859207</c:v>
                </c:pt>
                <c:pt idx="62">
                  <c:v>2906.482960859207</c:v>
                </c:pt>
                <c:pt idx="63">
                  <c:v>2906.482960859207</c:v>
                </c:pt>
                <c:pt idx="64">
                  <c:v>2906.482960859207</c:v>
                </c:pt>
                <c:pt idx="65">
                  <c:v>2906.482960859207</c:v>
                </c:pt>
                <c:pt idx="66">
                  <c:v>2906.482960859207</c:v>
                </c:pt>
                <c:pt idx="67">
                  <c:v>2906.482960859207</c:v>
                </c:pt>
                <c:pt idx="68">
                  <c:v>2906.482960859207</c:v>
                </c:pt>
                <c:pt idx="69">
                  <c:v>2906.482960859207</c:v>
                </c:pt>
                <c:pt idx="70">
                  <c:v>2906.482960859207</c:v>
                </c:pt>
                <c:pt idx="71">
                  <c:v>1555.133289345273</c:v>
                </c:pt>
                <c:pt idx="72">
                  <c:v>1555.133289345273</c:v>
                </c:pt>
                <c:pt idx="73">
                  <c:v>1555.133289345273</c:v>
                </c:pt>
                <c:pt idx="74">
                  <c:v>1555.133289345273</c:v>
                </c:pt>
                <c:pt idx="75">
                  <c:v>1555.133289345273</c:v>
                </c:pt>
                <c:pt idx="76">
                  <c:v>1555.133289345273</c:v>
                </c:pt>
                <c:pt idx="77">
                  <c:v>1555.133289345273</c:v>
                </c:pt>
                <c:pt idx="78">
                  <c:v>1555.133289345273</c:v>
                </c:pt>
                <c:pt idx="79">
                  <c:v>1555.133289345273</c:v>
                </c:pt>
                <c:pt idx="80">
                  <c:v>1555.133289345273</c:v>
                </c:pt>
                <c:pt idx="81">
                  <c:v>1555.133289345273</c:v>
                </c:pt>
                <c:pt idx="82">
                  <c:v>1555.133289345273</c:v>
                </c:pt>
                <c:pt idx="83">
                  <c:v>1555.133289345273</c:v>
                </c:pt>
                <c:pt idx="84">
                  <c:v>1555.133289345273</c:v>
                </c:pt>
                <c:pt idx="85">
                  <c:v>1555.133289345273</c:v>
                </c:pt>
                <c:pt idx="86">
                  <c:v>1555.133289345273</c:v>
                </c:pt>
                <c:pt idx="87">
                  <c:v>1555.133289345273</c:v>
                </c:pt>
                <c:pt idx="88">
                  <c:v>1555.133289345273</c:v>
                </c:pt>
                <c:pt idx="89">
                  <c:v>52404.1477012317</c:v>
                </c:pt>
                <c:pt idx="90">
                  <c:v>52404.1477012317</c:v>
                </c:pt>
                <c:pt idx="91">
                  <c:v>52404.1477012317</c:v>
                </c:pt>
                <c:pt idx="92">
                  <c:v>52404.1477012317</c:v>
                </c:pt>
                <c:pt idx="93">
                  <c:v>52404.1477012317</c:v>
                </c:pt>
                <c:pt idx="94">
                  <c:v>52404.1477012317</c:v>
                </c:pt>
                <c:pt idx="95">
                  <c:v>52404.1477012317</c:v>
                </c:pt>
                <c:pt idx="96">
                  <c:v>52404.1477012317</c:v>
                </c:pt>
                <c:pt idx="97">
                  <c:v>52404.1477012317</c:v>
                </c:pt>
                <c:pt idx="98">
                  <c:v>52404.1477012317</c:v>
                </c:pt>
                <c:pt idx="99">
                  <c:v>52404.1477012317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640.425887763899</c:v>
                </c:pt>
                <c:pt idx="30">
                  <c:v>640.425887763899</c:v>
                </c:pt>
                <c:pt idx="31">
                  <c:v>640.425887763899</c:v>
                </c:pt>
                <c:pt idx="32">
                  <c:v>640.425887763899</c:v>
                </c:pt>
                <c:pt idx="33">
                  <c:v>640.425887763899</c:v>
                </c:pt>
                <c:pt idx="34">
                  <c:v>640.425887763899</c:v>
                </c:pt>
                <c:pt idx="35">
                  <c:v>640.425887763899</c:v>
                </c:pt>
                <c:pt idx="36">
                  <c:v>640.425887763899</c:v>
                </c:pt>
                <c:pt idx="37">
                  <c:v>640.425887763899</c:v>
                </c:pt>
                <c:pt idx="38">
                  <c:v>640.425887763899</c:v>
                </c:pt>
                <c:pt idx="39">
                  <c:v>640.425887763899</c:v>
                </c:pt>
                <c:pt idx="40">
                  <c:v>640.425887763899</c:v>
                </c:pt>
                <c:pt idx="41">
                  <c:v>640.425887763899</c:v>
                </c:pt>
                <c:pt idx="42">
                  <c:v>640.425887763899</c:v>
                </c:pt>
                <c:pt idx="43">
                  <c:v>640.425887763899</c:v>
                </c:pt>
                <c:pt idx="44">
                  <c:v>640.425887763899</c:v>
                </c:pt>
                <c:pt idx="45">
                  <c:v>640.425887763899</c:v>
                </c:pt>
                <c:pt idx="46">
                  <c:v>640.425887763899</c:v>
                </c:pt>
                <c:pt idx="47">
                  <c:v>640.425887763899</c:v>
                </c:pt>
                <c:pt idx="48">
                  <c:v>640.425887763899</c:v>
                </c:pt>
                <c:pt idx="49">
                  <c:v>640.425887763899</c:v>
                </c:pt>
                <c:pt idx="50">
                  <c:v>640.425887763899</c:v>
                </c:pt>
                <c:pt idx="51">
                  <c:v>640.425887763899</c:v>
                </c:pt>
                <c:pt idx="52">
                  <c:v>640.425887763899</c:v>
                </c:pt>
                <c:pt idx="53">
                  <c:v>640.425887763899</c:v>
                </c:pt>
                <c:pt idx="54">
                  <c:v>640.425887763899</c:v>
                </c:pt>
                <c:pt idx="55">
                  <c:v>640.425887763899</c:v>
                </c:pt>
                <c:pt idx="56">
                  <c:v>640.425887763899</c:v>
                </c:pt>
                <c:pt idx="57">
                  <c:v>640.425887763899</c:v>
                </c:pt>
                <c:pt idx="58">
                  <c:v>640.425887763899</c:v>
                </c:pt>
                <c:pt idx="59">
                  <c:v>640.425887763899</c:v>
                </c:pt>
                <c:pt idx="60">
                  <c:v>640.425887763899</c:v>
                </c:pt>
                <c:pt idx="61">
                  <c:v>640.425887763899</c:v>
                </c:pt>
                <c:pt idx="62">
                  <c:v>640.425887763899</c:v>
                </c:pt>
                <c:pt idx="63">
                  <c:v>640.425887763899</c:v>
                </c:pt>
                <c:pt idx="64">
                  <c:v>640.425887763899</c:v>
                </c:pt>
                <c:pt idx="65">
                  <c:v>640.425887763899</c:v>
                </c:pt>
                <c:pt idx="66">
                  <c:v>640.425887763899</c:v>
                </c:pt>
                <c:pt idx="67">
                  <c:v>640.425887763899</c:v>
                </c:pt>
                <c:pt idx="68">
                  <c:v>640.425887763899</c:v>
                </c:pt>
                <c:pt idx="69">
                  <c:v>640.425887763899</c:v>
                </c:pt>
                <c:pt idx="70">
                  <c:v>640.425887763899</c:v>
                </c:pt>
                <c:pt idx="71">
                  <c:v>731.9153003015988</c:v>
                </c:pt>
                <c:pt idx="72">
                  <c:v>731.9153003015988</c:v>
                </c:pt>
                <c:pt idx="73">
                  <c:v>731.9153003015988</c:v>
                </c:pt>
                <c:pt idx="74">
                  <c:v>731.9153003015988</c:v>
                </c:pt>
                <c:pt idx="75">
                  <c:v>731.9153003015988</c:v>
                </c:pt>
                <c:pt idx="76">
                  <c:v>731.9153003015988</c:v>
                </c:pt>
                <c:pt idx="77">
                  <c:v>731.9153003015988</c:v>
                </c:pt>
                <c:pt idx="78">
                  <c:v>731.9153003015988</c:v>
                </c:pt>
                <c:pt idx="79">
                  <c:v>731.9153003015988</c:v>
                </c:pt>
                <c:pt idx="80">
                  <c:v>731.9153003015988</c:v>
                </c:pt>
                <c:pt idx="81">
                  <c:v>731.9153003015988</c:v>
                </c:pt>
                <c:pt idx="82">
                  <c:v>731.9153003015988</c:v>
                </c:pt>
                <c:pt idx="83">
                  <c:v>731.9153003015988</c:v>
                </c:pt>
                <c:pt idx="84">
                  <c:v>731.9153003015988</c:v>
                </c:pt>
                <c:pt idx="85">
                  <c:v>731.9153003015988</c:v>
                </c:pt>
                <c:pt idx="86">
                  <c:v>731.9153003015988</c:v>
                </c:pt>
                <c:pt idx="87">
                  <c:v>731.9153003015988</c:v>
                </c:pt>
                <c:pt idx="88">
                  <c:v>731.9153003015988</c:v>
                </c:pt>
                <c:pt idx="89">
                  <c:v>2711.028984182454</c:v>
                </c:pt>
                <c:pt idx="90">
                  <c:v>2711.028984182454</c:v>
                </c:pt>
                <c:pt idx="91">
                  <c:v>2711.028984182454</c:v>
                </c:pt>
                <c:pt idx="92">
                  <c:v>2711.028984182454</c:v>
                </c:pt>
                <c:pt idx="93">
                  <c:v>2711.028984182454</c:v>
                </c:pt>
                <c:pt idx="94">
                  <c:v>2711.028984182454</c:v>
                </c:pt>
                <c:pt idx="95">
                  <c:v>2711.028984182454</c:v>
                </c:pt>
                <c:pt idx="96">
                  <c:v>2711.028984182454</c:v>
                </c:pt>
                <c:pt idx="97">
                  <c:v>2711.028984182454</c:v>
                </c:pt>
                <c:pt idx="98">
                  <c:v>2711.028984182454</c:v>
                </c:pt>
                <c:pt idx="99">
                  <c:v>2711.028984182454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7413.748488798682</c:v>
                </c:pt>
                <c:pt idx="30">
                  <c:v>7413.748488798682</c:v>
                </c:pt>
                <c:pt idx="31">
                  <c:v>7413.748488798682</c:v>
                </c:pt>
                <c:pt idx="32">
                  <c:v>7413.748488798682</c:v>
                </c:pt>
                <c:pt idx="33">
                  <c:v>7413.748488798682</c:v>
                </c:pt>
                <c:pt idx="34">
                  <c:v>7413.748488798682</c:v>
                </c:pt>
                <c:pt idx="35">
                  <c:v>7413.748488798682</c:v>
                </c:pt>
                <c:pt idx="36">
                  <c:v>7413.748488798682</c:v>
                </c:pt>
                <c:pt idx="37">
                  <c:v>7413.748488798682</c:v>
                </c:pt>
                <c:pt idx="38">
                  <c:v>7413.748488798682</c:v>
                </c:pt>
                <c:pt idx="39">
                  <c:v>7413.748488798682</c:v>
                </c:pt>
                <c:pt idx="40">
                  <c:v>7413.748488798682</c:v>
                </c:pt>
                <c:pt idx="41">
                  <c:v>7413.748488798682</c:v>
                </c:pt>
                <c:pt idx="42">
                  <c:v>7413.748488798682</c:v>
                </c:pt>
                <c:pt idx="43">
                  <c:v>7413.748488798682</c:v>
                </c:pt>
                <c:pt idx="44">
                  <c:v>7413.748488798682</c:v>
                </c:pt>
                <c:pt idx="45">
                  <c:v>7413.748488798682</c:v>
                </c:pt>
                <c:pt idx="46">
                  <c:v>7413.748488798682</c:v>
                </c:pt>
                <c:pt idx="47">
                  <c:v>7413.748488798682</c:v>
                </c:pt>
                <c:pt idx="48">
                  <c:v>7413.748488798682</c:v>
                </c:pt>
                <c:pt idx="49">
                  <c:v>7413.748488798682</c:v>
                </c:pt>
                <c:pt idx="50">
                  <c:v>7413.748488798682</c:v>
                </c:pt>
                <c:pt idx="51">
                  <c:v>7413.748488798682</c:v>
                </c:pt>
                <c:pt idx="52">
                  <c:v>7413.748488798682</c:v>
                </c:pt>
                <c:pt idx="53">
                  <c:v>7413.748488798682</c:v>
                </c:pt>
                <c:pt idx="54">
                  <c:v>7413.748488798682</c:v>
                </c:pt>
                <c:pt idx="55">
                  <c:v>7413.748488798682</c:v>
                </c:pt>
                <c:pt idx="56">
                  <c:v>7413.748488798682</c:v>
                </c:pt>
                <c:pt idx="57">
                  <c:v>7413.748488798682</c:v>
                </c:pt>
                <c:pt idx="58">
                  <c:v>7413.748488798682</c:v>
                </c:pt>
                <c:pt idx="59">
                  <c:v>7413.748488798682</c:v>
                </c:pt>
                <c:pt idx="60">
                  <c:v>7413.748488798682</c:v>
                </c:pt>
                <c:pt idx="61">
                  <c:v>7413.748488798682</c:v>
                </c:pt>
                <c:pt idx="62">
                  <c:v>7413.748488798682</c:v>
                </c:pt>
                <c:pt idx="63">
                  <c:v>7413.748488798682</c:v>
                </c:pt>
                <c:pt idx="64">
                  <c:v>7413.748488798682</c:v>
                </c:pt>
                <c:pt idx="65">
                  <c:v>7413.748488798682</c:v>
                </c:pt>
                <c:pt idx="66">
                  <c:v>7413.748488798682</c:v>
                </c:pt>
                <c:pt idx="67">
                  <c:v>7413.748488798682</c:v>
                </c:pt>
                <c:pt idx="68">
                  <c:v>7413.748488798682</c:v>
                </c:pt>
                <c:pt idx="69">
                  <c:v>7413.748488798682</c:v>
                </c:pt>
                <c:pt idx="70">
                  <c:v>7413.748488798682</c:v>
                </c:pt>
                <c:pt idx="71">
                  <c:v>15201.86473854368</c:v>
                </c:pt>
                <c:pt idx="72">
                  <c:v>15201.86473854368</c:v>
                </c:pt>
                <c:pt idx="73">
                  <c:v>15201.86473854368</c:v>
                </c:pt>
                <c:pt idx="74">
                  <c:v>15201.86473854368</c:v>
                </c:pt>
                <c:pt idx="75">
                  <c:v>15201.86473854368</c:v>
                </c:pt>
                <c:pt idx="76">
                  <c:v>15201.86473854368</c:v>
                </c:pt>
                <c:pt idx="77">
                  <c:v>15201.86473854368</c:v>
                </c:pt>
                <c:pt idx="78">
                  <c:v>15201.86473854368</c:v>
                </c:pt>
                <c:pt idx="79">
                  <c:v>15201.86473854368</c:v>
                </c:pt>
                <c:pt idx="80">
                  <c:v>15201.86473854368</c:v>
                </c:pt>
                <c:pt idx="81">
                  <c:v>15201.86473854368</c:v>
                </c:pt>
                <c:pt idx="82">
                  <c:v>15201.86473854368</c:v>
                </c:pt>
                <c:pt idx="83">
                  <c:v>15201.86473854368</c:v>
                </c:pt>
                <c:pt idx="84">
                  <c:v>15201.86473854368</c:v>
                </c:pt>
                <c:pt idx="85">
                  <c:v>15201.86473854368</c:v>
                </c:pt>
                <c:pt idx="86">
                  <c:v>15201.86473854368</c:v>
                </c:pt>
                <c:pt idx="87">
                  <c:v>15201.86473854368</c:v>
                </c:pt>
                <c:pt idx="88">
                  <c:v>15201.86473854368</c:v>
                </c:pt>
                <c:pt idx="89">
                  <c:v>28866.06959548754</c:v>
                </c:pt>
                <c:pt idx="90">
                  <c:v>28866.06959548754</c:v>
                </c:pt>
                <c:pt idx="91">
                  <c:v>28866.06959548754</c:v>
                </c:pt>
                <c:pt idx="92">
                  <c:v>28866.06959548754</c:v>
                </c:pt>
                <c:pt idx="93">
                  <c:v>28866.06959548754</c:v>
                </c:pt>
                <c:pt idx="94">
                  <c:v>28866.06959548754</c:v>
                </c:pt>
                <c:pt idx="95">
                  <c:v>28866.06959548754</c:v>
                </c:pt>
                <c:pt idx="96">
                  <c:v>28866.06959548754</c:v>
                </c:pt>
                <c:pt idx="97">
                  <c:v>28866.06959548754</c:v>
                </c:pt>
                <c:pt idx="98">
                  <c:v>28866.06959548754</c:v>
                </c:pt>
                <c:pt idx="99">
                  <c:v>28866.06959548754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1178.925965619884</c:v>
                </c:pt>
                <c:pt idx="1">
                  <c:v>1178.925965619884</c:v>
                </c:pt>
                <c:pt idx="2">
                  <c:v>1178.925965619884</c:v>
                </c:pt>
                <c:pt idx="3">
                  <c:v>1178.925965619884</c:v>
                </c:pt>
                <c:pt idx="4">
                  <c:v>1178.925965619884</c:v>
                </c:pt>
                <c:pt idx="5">
                  <c:v>1178.925965619884</c:v>
                </c:pt>
                <c:pt idx="6">
                  <c:v>1178.925965619884</c:v>
                </c:pt>
                <c:pt idx="7">
                  <c:v>1178.925965619884</c:v>
                </c:pt>
                <c:pt idx="8">
                  <c:v>1178.925965619884</c:v>
                </c:pt>
                <c:pt idx="9">
                  <c:v>1178.925965619884</c:v>
                </c:pt>
                <c:pt idx="10">
                  <c:v>1178.925965619884</c:v>
                </c:pt>
                <c:pt idx="11">
                  <c:v>1178.925965619884</c:v>
                </c:pt>
                <c:pt idx="12">
                  <c:v>1178.925965619884</c:v>
                </c:pt>
                <c:pt idx="13">
                  <c:v>1178.925965619884</c:v>
                </c:pt>
                <c:pt idx="14">
                  <c:v>1178.925965619884</c:v>
                </c:pt>
                <c:pt idx="15">
                  <c:v>1178.925965619884</c:v>
                </c:pt>
                <c:pt idx="16">
                  <c:v>1178.925965619884</c:v>
                </c:pt>
                <c:pt idx="17">
                  <c:v>1178.925965619884</c:v>
                </c:pt>
                <c:pt idx="18">
                  <c:v>1178.925965619884</c:v>
                </c:pt>
                <c:pt idx="19">
                  <c:v>1178.925965619884</c:v>
                </c:pt>
                <c:pt idx="20">
                  <c:v>1178.925965619884</c:v>
                </c:pt>
                <c:pt idx="21">
                  <c:v>1178.925965619884</c:v>
                </c:pt>
                <c:pt idx="22">
                  <c:v>1178.925965619884</c:v>
                </c:pt>
                <c:pt idx="23">
                  <c:v>1178.925965619884</c:v>
                </c:pt>
                <c:pt idx="24">
                  <c:v>1178.925965619884</c:v>
                </c:pt>
                <c:pt idx="25">
                  <c:v>1178.925965619884</c:v>
                </c:pt>
                <c:pt idx="26">
                  <c:v>1178.925965619884</c:v>
                </c:pt>
                <c:pt idx="27">
                  <c:v>1178.925965619884</c:v>
                </c:pt>
                <c:pt idx="28">
                  <c:v>1178.925965619884</c:v>
                </c:pt>
                <c:pt idx="29">
                  <c:v>365.1780983871474</c:v>
                </c:pt>
                <c:pt idx="30">
                  <c:v>365.1780983871474</c:v>
                </c:pt>
                <c:pt idx="31">
                  <c:v>365.1780983871474</c:v>
                </c:pt>
                <c:pt idx="32">
                  <c:v>365.1780983871474</c:v>
                </c:pt>
                <c:pt idx="33">
                  <c:v>365.1780983871474</c:v>
                </c:pt>
                <c:pt idx="34">
                  <c:v>365.1780983871474</c:v>
                </c:pt>
                <c:pt idx="35">
                  <c:v>365.1780983871474</c:v>
                </c:pt>
                <c:pt idx="36">
                  <c:v>365.1780983871474</c:v>
                </c:pt>
                <c:pt idx="37">
                  <c:v>365.1780983871474</c:v>
                </c:pt>
                <c:pt idx="38">
                  <c:v>365.1780983871474</c:v>
                </c:pt>
                <c:pt idx="39">
                  <c:v>365.1780983871474</c:v>
                </c:pt>
                <c:pt idx="40">
                  <c:v>365.1780983871474</c:v>
                </c:pt>
                <c:pt idx="41">
                  <c:v>365.1780983871474</c:v>
                </c:pt>
                <c:pt idx="42">
                  <c:v>365.1780983871474</c:v>
                </c:pt>
                <c:pt idx="43">
                  <c:v>365.1780983871474</c:v>
                </c:pt>
                <c:pt idx="44">
                  <c:v>365.1780983871474</c:v>
                </c:pt>
                <c:pt idx="45">
                  <c:v>365.1780983871474</c:v>
                </c:pt>
                <c:pt idx="46">
                  <c:v>365.1780983871474</c:v>
                </c:pt>
                <c:pt idx="47">
                  <c:v>365.1780983871474</c:v>
                </c:pt>
                <c:pt idx="48">
                  <c:v>365.1780983871474</c:v>
                </c:pt>
                <c:pt idx="49">
                  <c:v>365.1780983871474</c:v>
                </c:pt>
                <c:pt idx="50">
                  <c:v>365.1780983871474</c:v>
                </c:pt>
                <c:pt idx="51">
                  <c:v>365.1780983871474</c:v>
                </c:pt>
                <c:pt idx="52">
                  <c:v>365.1780983871474</c:v>
                </c:pt>
                <c:pt idx="53">
                  <c:v>365.1780983871474</c:v>
                </c:pt>
                <c:pt idx="54">
                  <c:v>365.1780983871474</c:v>
                </c:pt>
                <c:pt idx="55">
                  <c:v>365.1780983871474</c:v>
                </c:pt>
                <c:pt idx="56">
                  <c:v>365.1780983871474</c:v>
                </c:pt>
                <c:pt idx="57">
                  <c:v>365.1780983871474</c:v>
                </c:pt>
                <c:pt idx="58">
                  <c:v>365.1780983871474</c:v>
                </c:pt>
                <c:pt idx="59">
                  <c:v>365.1780983871474</c:v>
                </c:pt>
                <c:pt idx="60">
                  <c:v>365.1780983871474</c:v>
                </c:pt>
                <c:pt idx="61">
                  <c:v>365.1780983871474</c:v>
                </c:pt>
                <c:pt idx="62">
                  <c:v>365.1780983871474</c:v>
                </c:pt>
                <c:pt idx="63">
                  <c:v>365.1780983871474</c:v>
                </c:pt>
                <c:pt idx="64">
                  <c:v>365.1780983871474</c:v>
                </c:pt>
                <c:pt idx="65">
                  <c:v>365.1780983871474</c:v>
                </c:pt>
                <c:pt idx="66">
                  <c:v>365.1780983871474</c:v>
                </c:pt>
                <c:pt idx="67">
                  <c:v>365.1780983871474</c:v>
                </c:pt>
                <c:pt idx="68">
                  <c:v>365.1780983871474</c:v>
                </c:pt>
                <c:pt idx="69">
                  <c:v>365.1780983871474</c:v>
                </c:pt>
                <c:pt idx="70">
                  <c:v>365.1780983871474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6054.535783799295</c:v>
                </c:pt>
                <c:pt idx="1">
                  <c:v>6054.535783799295</c:v>
                </c:pt>
                <c:pt idx="2">
                  <c:v>6054.535783799295</c:v>
                </c:pt>
                <c:pt idx="3">
                  <c:v>6054.535783799295</c:v>
                </c:pt>
                <c:pt idx="4">
                  <c:v>6054.535783799295</c:v>
                </c:pt>
                <c:pt idx="5">
                  <c:v>6054.535783799295</c:v>
                </c:pt>
                <c:pt idx="6">
                  <c:v>6054.535783799295</c:v>
                </c:pt>
                <c:pt idx="7">
                  <c:v>6054.535783799295</c:v>
                </c:pt>
                <c:pt idx="8">
                  <c:v>6054.535783799295</c:v>
                </c:pt>
                <c:pt idx="9">
                  <c:v>6054.535783799295</c:v>
                </c:pt>
                <c:pt idx="10">
                  <c:v>6054.535783799295</c:v>
                </c:pt>
                <c:pt idx="11">
                  <c:v>6054.535783799295</c:v>
                </c:pt>
                <c:pt idx="12">
                  <c:v>6054.535783799295</c:v>
                </c:pt>
                <c:pt idx="13">
                  <c:v>6054.535783799295</c:v>
                </c:pt>
                <c:pt idx="14">
                  <c:v>6054.535783799295</c:v>
                </c:pt>
                <c:pt idx="15">
                  <c:v>6054.535783799295</c:v>
                </c:pt>
                <c:pt idx="16">
                  <c:v>6054.535783799295</c:v>
                </c:pt>
                <c:pt idx="17">
                  <c:v>6054.535783799295</c:v>
                </c:pt>
                <c:pt idx="18">
                  <c:v>6054.535783799295</c:v>
                </c:pt>
                <c:pt idx="19">
                  <c:v>6054.535783799295</c:v>
                </c:pt>
                <c:pt idx="20">
                  <c:v>6054.535783799295</c:v>
                </c:pt>
                <c:pt idx="21">
                  <c:v>6054.535783799295</c:v>
                </c:pt>
                <c:pt idx="22">
                  <c:v>6054.535783799295</c:v>
                </c:pt>
                <c:pt idx="23">
                  <c:v>6054.535783799295</c:v>
                </c:pt>
                <c:pt idx="24">
                  <c:v>6054.535783799295</c:v>
                </c:pt>
                <c:pt idx="25">
                  <c:v>6054.535783799295</c:v>
                </c:pt>
                <c:pt idx="26">
                  <c:v>6054.535783799295</c:v>
                </c:pt>
                <c:pt idx="27">
                  <c:v>6054.535783799295</c:v>
                </c:pt>
                <c:pt idx="28">
                  <c:v>6054.535783799295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188712.8036508871</c:v>
                </c:pt>
                <c:pt idx="72">
                  <c:v>188712.8036508871</c:v>
                </c:pt>
                <c:pt idx="73">
                  <c:v>188712.8036508871</c:v>
                </c:pt>
                <c:pt idx="74">
                  <c:v>188712.8036508871</c:v>
                </c:pt>
                <c:pt idx="75">
                  <c:v>188712.8036508871</c:v>
                </c:pt>
                <c:pt idx="76">
                  <c:v>188712.8036508871</c:v>
                </c:pt>
                <c:pt idx="77">
                  <c:v>188712.8036508871</c:v>
                </c:pt>
                <c:pt idx="78">
                  <c:v>188712.8036508871</c:v>
                </c:pt>
                <c:pt idx="79">
                  <c:v>188712.8036508871</c:v>
                </c:pt>
                <c:pt idx="80">
                  <c:v>188712.8036508871</c:v>
                </c:pt>
                <c:pt idx="81">
                  <c:v>188712.8036508871</c:v>
                </c:pt>
                <c:pt idx="82">
                  <c:v>188712.8036508871</c:v>
                </c:pt>
                <c:pt idx="83">
                  <c:v>188712.8036508871</c:v>
                </c:pt>
                <c:pt idx="84">
                  <c:v>188712.8036508871</c:v>
                </c:pt>
                <c:pt idx="85">
                  <c:v>188712.8036508871</c:v>
                </c:pt>
                <c:pt idx="86">
                  <c:v>188712.8036508871</c:v>
                </c:pt>
                <c:pt idx="87">
                  <c:v>188712.8036508871</c:v>
                </c:pt>
                <c:pt idx="88">
                  <c:v>188712.8036508871</c:v>
                </c:pt>
                <c:pt idx="89">
                  <c:v>352263.9001483225</c:v>
                </c:pt>
                <c:pt idx="90">
                  <c:v>352263.9001483225</c:v>
                </c:pt>
                <c:pt idx="91">
                  <c:v>352263.9001483225</c:v>
                </c:pt>
                <c:pt idx="92">
                  <c:v>352263.9001483225</c:v>
                </c:pt>
                <c:pt idx="93">
                  <c:v>352263.9001483225</c:v>
                </c:pt>
                <c:pt idx="94">
                  <c:v>352263.9001483225</c:v>
                </c:pt>
                <c:pt idx="95">
                  <c:v>352263.9001483225</c:v>
                </c:pt>
                <c:pt idx="96">
                  <c:v>352263.9001483225</c:v>
                </c:pt>
                <c:pt idx="97">
                  <c:v>352263.9001483225</c:v>
                </c:pt>
                <c:pt idx="98">
                  <c:v>352263.9001483225</c:v>
                </c:pt>
                <c:pt idx="99">
                  <c:v>352263.9001483225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5871.065002472043</c:v>
                </c:pt>
                <c:pt idx="1">
                  <c:v>5871.065002472043</c:v>
                </c:pt>
                <c:pt idx="2">
                  <c:v>5871.065002472043</c:v>
                </c:pt>
                <c:pt idx="3">
                  <c:v>5871.065002472043</c:v>
                </c:pt>
                <c:pt idx="4">
                  <c:v>5871.065002472043</c:v>
                </c:pt>
                <c:pt idx="5">
                  <c:v>5871.065002472043</c:v>
                </c:pt>
                <c:pt idx="6">
                  <c:v>5871.065002472043</c:v>
                </c:pt>
                <c:pt idx="7">
                  <c:v>5871.065002472043</c:v>
                </c:pt>
                <c:pt idx="8">
                  <c:v>5871.065002472043</c:v>
                </c:pt>
                <c:pt idx="9">
                  <c:v>5871.065002472043</c:v>
                </c:pt>
                <c:pt idx="10">
                  <c:v>5871.065002472043</c:v>
                </c:pt>
                <c:pt idx="11">
                  <c:v>5871.065002472043</c:v>
                </c:pt>
                <c:pt idx="12">
                  <c:v>5871.065002472043</c:v>
                </c:pt>
                <c:pt idx="13">
                  <c:v>5871.065002472043</c:v>
                </c:pt>
                <c:pt idx="14">
                  <c:v>5871.065002472043</c:v>
                </c:pt>
                <c:pt idx="15">
                  <c:v>5871.065002472043</c:v>
                </c:pt>
                <c:pt idx="16">
                  <c:v>5871.065002472043</c:v>
                </c:pt>
                <c:pt idx="17">
                  <c:v>5871.065002472043</c:v>
                </c:pt>
                <c:pt idx="18">
                  <c:v>5871.065002472043</c:v>
                </c:pt>
                <c:pt idx="19">
                  <c:v>5871.065002472043</c:v>
                </c:pt>
                <c:pt idx="20">
                  <c:v>5871.065002472043</c:v>
                </c:pt>
                <c:pt idx="21">
                  <c:v>5871.065002472043</c:v>
                </c:pt>
                <c:pt idx="22">
                  <c:v>5871.065002472043</c:v>
                </c:pt>
                <c:pt idx="23">
                  <c:v>5871.065002472043</c:v>
                </c:pt>
                <c:pt idx="24">
                  <c:v>5871.065002472043</c:v>
                </c:pt>
                <c:pt idx="25">
                  <c:v>5871.065002472043</c:v>
                </c:pt>
                <c:pt idx="26">
                  <c:v>5871.065002472043</c:v>
                </c:pt>
                <c:pt idx="27">
                  <c:v>5871.065002472043</c:v>
                </c:pt>
                <c:pt idx="28">
                  <c:v>5871.065002472043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58710.65002472042</c:v>
                </c:pt>
                <c:pt idx="90">
                  <c:v>58710.65002472042</c:v>
                </c:pt>
                <c:pt idx="91">
                  <c:v>58710.65002472042</c:v>
                </c:pt>
                <c:pt idx="92">
                  <c:v>58710.65002472042</c:v>
                </c:pt>
                <c:pt idx="93">
                  <c:v>58710.65002472042</c:v>
                </c:pt>
                <c:pt idx="94">
                  <c:v>58710.65002472042</c:v>
                </c:pt>
                <c:pt idx="95">
                  <c:v>58710.65002472042</c:v>
                </c:pt>
                <c:pt idx="96">
                  <c:v>58710.65002472042</c:v>
                </c:pt>
                <c:pt idx="97">
                  <c:v>58710.65002472042</c:v>
                </c:pt>
                <c:pt idx="98">
                  <c:v>58710.65002472042</c:v>
                </c:pt>
                <c:pt idx="99">
                  <c:v>58710.65002472042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24218.14313519718</c:v>
                </c:pt>
                <c:pt idx="1">
                  <c:v>24218.14313519718</c:v>
                </c:pt>
                <c:pt idx="2">
                  <c:v>24218.14313519718</c:v>
                </c:pt>
                <c:pt idx="3">
                  <c:v>24218.14313519718</c:v>
                </c:pt>
                <c:pt idx="4">
                  <c:v>24218.14313519718</c:v>
                </c:pt>
                <c:pt idx="5">
                  <c:v>24218.14313519718</c:v>
                </c:pt>
                <c:pt idx="6">
                  <c:v>24218.14313519718</c:v>
                </c:pt>
                <c:pt idx="7">
                  <c:v>24218.14313519718</c:v>
                </c:pt>
                <c:pt idx="8">
                  <c:v>24218.14313519718</c:v>
                </c:pt>
                <c:pt idx="9">
                  <c:v>24218.14313519718</c:v>
                </c:pt>
                <c:pt idx="10">
                  <c:v>24218.14313519718</c:v>
                </c:pt>
                <c:pt idx="11">
                  <c:v>24218.14313519718</c:v>
                </c:pt>
                <c:pt idx="12">
                  <c:v>24218.14313519718</c:v>
                </c:pt>
                <c:pt idx="13">
                  <c:v>24218.14313519718</c:v>
                </c:pt>
                <c:pt idx="14">
                  <c:v>24218.14313519718</c:v>
                </c:pt>
                <c:pt idx="15">
                  <c:v>24218.14313519718</c:v>
                </c:pt>
                <c:pt idx="16">
                  <c:v>24218.14313519718</c:v>
                </c:pt>
                <c:pt idx="17">
                  <c:v>24218.14313519718</c:v>
                </c:pt>
                <c:pt idx="18">
                  <c:v>24218.14313519718</c:v>
                </c:pt>
                <c:pt idx="19">
                  <c:v>24218.14313519718</c:v>
                </c:pt>
                <c:pt idx="20">
                  <c:v>24218.14313519718</c:v>
                </c:pt>
                <c:pt idx="21">
                  <c:v>24218.14313519718</c:v>
                </c:pt>
                <c:pt idx="22">
                  <c:v>24218.14313519718</c:v>
                </c:pt>
                <c:pt idx="23">
                  <c:v>24218.14313519718</c:v>
                </c:pt>
                <c:pt idx="24">
                  <c:v>24218.14313519718</c:v>
                </c:pt>
                <c:pt idx="25">
                  <c:v>24218.14313519718</c:v>
                </c:pt>
                <c:pt idx="26">
                  <c:v>24218.14313519718</c:v>
                </c:pt>
                <c:pt idx="27">
                  <c:v>24218.14313519718</c:v>
                </c:pt>
                <c:pt idx="28">
                  <c:v>24218.14313519718</c:v>
                </c:pt>
                <c:pt idx="29">
                  <c:v>49904.05252101237</c:v>
                </c:pt>
                <c:pt idx="30">
                  <c:v>49904.05252101237</c:v>
                </c:pt>
                <c:pt idx="31">
                  <c:v>49904.05252101237</c:v>
                </c:pt>
                <c:pt idx="32">
                  <c:v>49904.05252101237</c:v>
                </c:pt>
                <c:pt idx="33">
                  <c:v>49904.05252101237</c:v>
                </c:pt>
                <c:pt idx="34">
                  <c:v>49904.05252101237</c:v>
                </c:pt>
                <c:pt idx="35">
                  <c:v>49904.05252101237</c:v>
                </c:pt>
                <c:pt idx="36">
                  <c:v>49904.05252101237</c:v>
                </c:pt>
                <c:pt idx="37">
                  <c:v>49904.05252101237</c:v>
                </c:pt>
                <c:pt idx="38">
                  <c:v>49904.05252101237</c:v>
                </c:pt>
                <c:pt idx="39">
                  <c:v>49904.05252101237</c:v>
                </c:pt>
                <c:pt idx="40">
                  <c:v>49904.05252101237</c:v>
                </c:pt>
                <c:pt idx="41">
                  <c:v>49904.05252101237</c:v>
                </c:pt>
                <c:pt idx="42">
                  <c:v>49904.05252101237</c:v>
                </c:pt>
                <c:pt idx="43">
                  <c:v>49904.05252101237</c:v>
                </c:pt>
                <c:pt idx="44">
                  <c:v>49904.05252101237</c:v>
                </c:pt>
                <c:pt idx="45">
                  <c:v>49904.05252101237</c:v>
                </c:pt>
                <c:pt idx="46">
                  <c:v>49904.05252101237</c:v>
                </c:pt>
                <c:pt idx="47">
                  <c:v>49904.05252101237</c:v>
                </c:pt>
                <c:pt idx="48">
                  <c:v>49904.05252101237</c:v>
                </c:pt>
                <c:pt idx="49">
                  <c:v>49904.05252101237</c:v>
                </c:pt>
                <c:pt idx="50">
                  <c:v>49904.05252101237</c:v>
                </c:pt>
                <c:pt idx="51">
                  <c:v>49904.05252101237</c:v>
                </c:pt>
                <c:pt idx="52">
                  <c:v>49904.05252101237</c:v>
                </c:pt>
                <c:pt idx="53">
                  <c:v>49904.05252101237</c:v>
                </c:pt>
                <c:pt idx="54">
                  <c:v>49904.05252101237</c:v>
                </c:pt>
                <c:pt idx="55">
                  <c:v>49904.05252101237</c:v>
                </c:pt>
                <c:pt idx="56">
                  <c:v>49904.05252101237</c:v>
                </c:pt>
                <c:pt idx="57">
                  <c:v>49904.05252101237</c:v>
                </c:pt>
                <c:pt idx="58">
                  <c:v>49904.05252101237</c:v>
                </c:pt>
                <c:pt idx="59">
                  <c:v>49904.05252101237</c:v>
                </c:pt>
                <c:pt idx="60">
                  <c:v>49904.05252101237</c:v>
                </c:pt>
                <c:pt idx="61">
                  <c:v>49904.05252101237</c:v>
                </c:pt>
                <c:pt idx="62">
                  <c:v>49904.05252101237</c:v>
                </c:pt>
                <c:pt idx="63">
                  <c:v>49904.05252101237</c:v>
                </c:pt>
                <c:pt idx="64">
                  <c:v>49904.05252101237</c:v>
                </c:pt>
                <c:pt idx="65">
                  <c:v>49904.05252101237</c:v>
                </c:pt>
                <c:pt idx="66">
                  <c:v>49904.05252101237</c:v>
                </c:pt>
                <c:pt idx="67">
                  <c:v>49904.05252101237</c:v>
                </c:pt>
                <c:pt idx="68">
                  <c:v>49904.05252101237</c:v>
                </c:pt>
                <c:pt idx="69">
                  <c:v>49904.05252101237</c:v>
                </c:pt>
                <c:pt idx="70">
                  <c:v>49904.05252101237</c:v>
                </c:pt>
                <c:pt idx="71">
                  <c:v>14677.66250618011</c:v>
                </c:pt>
                <c:pt idx="72">
                  <c:v>14677.66250618011</c:v>
                </c:pt>
                <c:pt idx="73">
                  <c:v>14677.66250618011</c:v>
                </c:pt>
                <c:pt idx="74">
                  <c:v>14677.66250618011</c:v>
                </c:pt>
                <c:pt idx="75">
                  <c:v>14677.66250618011</c:v>
                </c:pt>
                <c:pt idx="76">
                  <c:v>14677.66250618011</c:v>
                </c:pt>
                <c:pt idx="77">
                  <c:v>14677.66250618011</c:v>
                </c:pt>
                <c:pt idx="78">
                  <c:v>14677.66250618011</c:v>
                </c:pt>
                <c:pt idx="79">
                  <c:v>14677.66250618011</c:v>
                </c:pt>
                <c:pt idx="80">
                  <c:v>14677.66250618011</c:v>
                </c:pt>
                <c:pt idx="81">
                  <c:v>14677.66250618011</c:v>
                </c:pt>
                <c:pt idx="82">
                  <c:v>14677.66250618011</c:v>
                </c:pt>
                <c:pt idx="83">
                  <c:v>14677.66250618011</c:v>
                </c:pt>
                <c:pt idx="84">
                  <c:v>14677.66250618011</c:v>
                </c:pt>
                <c:pt idx="85">
                  <c:v>14677.66250618011</c:v>
                </c:pt>
                <c:pt idx="86">
                  <c:v>14677.66250618011</c:v>
                </c:pt>
                <c:pt idx="87">
                  <c:v>14677.66250618011</c:v>
                </c:pt>
                <c:pt idx="88">
                  <c:v>14677.66250618011</c:v>
                </c:pt>
                <c:pt idx="89">
                  <c:v>20548.72750865215</c:v>
                </c:pt>
                <c:pt idx="90">
                  <c:v>20548.72750865215</c:v>
                </c:pt>
                <c:pt idx="91">
                  <c:v>20548.72750865215</c:v>
                </c:pt>
                <c:pt idx="92">
                  <c:v>20548.72750865215</c:v>
                </c:pt>
                <c:pt idx="93">
                  <c:v>20548.72750865215</c:v>
                </c:pt>
                <c:pt idx="94">
                  <c:v>20548.72750865215</c:v>
                </c:pt>
                <c:pt idx="95">
                  <c:v>20548.72750865215</c:v>
                </c:pt>
                <c:pt idx="96">
                  <c:v>20548.72750865215</c:v>
                </c:pt>
                <c:pt idx="97">
                  <c:v>20548.72750865215</c:v>
                </c:pt>
                <c:pt idx="98">
                  <c:v>20548.72750865215</c:v>
                </c:pt>
                <c:pt idx="99">
                  <c:v>20548.72750865215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5743.606515712034</c:v>
                </c:pt>
                <c:pt idx="1">
                  <c:v>5743.606515712034</c:v>
                </c:pt>
                <c:pt idx="2">
                  <c:v>5743.606515712034</c:v>
                </c:pt>
                <c:pt idx="3">
                  <c:v>5743.606515712034</c:v>
                </c:pt>
                <c:pt idx="4">
                  <c:v>5743.606515712034</c:v>
                </c:pt>
                <c:pt idx="5">
                  <c:v>5743.606515712034</c:v>
                </c:pt>
                <c:pt idx="6">
                  <c:v>5743.606515712034</c:v>
                </c:pt>
                <c:pt idx="7">
                  <c:v>5743.606515712034</c:v>
                </c:pt>
                <c:pt idx="8">
                  <c:v>5743.606515712034</c:v>
                </c:pt>
                <c:pt idx="9">
                  <c:v>5743.606515712034</c:v>
                </c:pt>
                <c:pt idx="10">
                  <c:v>5743.606515712034</c:v>
                </c:pt>
                <c:pt idx="11">
                  <c:v>5743.606515712034</c:v>
                </c:pt>
                <c:pt idx="12">
                  <c:v>5743.606515712034</c:v>
                </c:pt>
                <c:pt idx="13">
                  <c:v>5743.606515712034</c:v>
                </c:pt>
                <c:pt idx="14">
                  <c:v>5743.606515712034</c:v>
                </c:pt>
                <c:pt idx="15">
                  <c:v>5743.606515712034</c:v>
                </c:pt>
                <c:pt idx="16">
                  <c:v>5743.606515712034</c:v>
                </c:pt>
                <c:pt idx="17">
                  <c:v>5743.606515712034</c:v>
                </c:pt>
                <c:pt idx="18">
                  <c:v>5743.606515712034</c:v>
                </c:pt>
                <c:pt idx="19">
                  <c:v>5743.606515712034</c:v>
                </c:pt>
                <c:pt idx="20">
                  <c:v>5743.606515712034</c:v>
                </c:pt>
                <c:pt idx="21">
                  <c:v>5743.606515712034</c:v>
                </c:pt>
                <c:pt idx="22">
                  <c:v>5743.606515712034</c:v>
                </c:pt>
                <c:pt idx="23">
                  <c:v>5743.606515712034</c:v>
                </c:pt>
                <c:pt idx="24">
                  <c:v>5743.606515712034</c:v>
                </c:pt>
                <c:pt idx="25">
                  <c:v>5743.606515712034</c:v>
                </c:pt>
                <c:pt idx="26">
                  <c:v>5743.606515712034</c:v>
                </c:pt>
                <c:pt idx="27">
                  <c:v>5743.606515712034</c:v>
                </c:pt>
                <c:pt idx="28">
                  <c:v>5743.606515712034</c:v>
                </c:pt>
                <c:pt idx="29">
                  <c:v>6022.852375308917</c:v>
                </c:pt>
                <c:pt idx="30">
                  <c:v>6022.852375308917</c:v>
                </c:pt>
                <c:pt idx="31">
                  <c:v>6022.852375308917</c:v>
                </c:pt>
                <c:pt idx="32">
                  <c:v>6022.852375308917</c:v>
                </c:pt>
                <c:pt idx="33">
                  <c:v>6022.852375308917</c:v>
                </c:pt>
                <c:pt idx="34">
                  <c:v>6022.852375308917</c:v>
                </c:pt>
                <c:pt idx="35">
                  <c:v>6022.852375308917</c:v>
                </c:pt>
                <c:pt idx="36">
                  <c:v>6022.852375308917</c:v>
                </c:pt>
                <c:pt idx="37">
                  <c:v>6022.852375308917</c:v>
                </c:pt>
                <c:pt idx="38">
                  <c:v>6022.852375308917</c:v>
                </c:pt>
                <c:pt idx="39">
                  <c:v>6022.852375308917</c:v>
                </c:pt>
                <c:pt idx="40">
                  <c:v>6022.852375308917</c:v>
                </c:pt>
                <c:pt idx="41">
                  <c:v>6022.852375308917</c:v>
                </c:pt>
                <c:pt idx="42">
                  <c:v>6022.852375308917</c:v>
                </c:pt>
                <c:pt idx="43">
                  <c:v>6022.852375308917</c:v>
                </c:pt>
                <c:pt idx="44">
                  <c:v>6022.852375308917</c:v>
                </c:pt>
                <c:pt idx="45">
                  <c:v>6022.852375308917</c:v>
                </c:pt>
                <c:pt idx="46">
                  <c:v>6022.852375308917</c:v>
                </c:pt>
                <c:pt idx="47">
                  <c:v>6022.852375308917</c:v>
                </c:pt>
                <c:pt idx="48">
                  <c:v>6022.852375308917</c:v>
                </c:pt>
                <c:pt idx="49">
                  <c:v>6022.852375308917</c:v>
                </c:pt>
                <c:pt idx="50">
                  <c:v>6022.852375308917</c:v>
                </c:pt>
                <c:pt idx="51">
                  <c:v>6022.852375308917</c:v>
                </c:pt>
                <c:pt idx="52">
                  <c:v>6022.852375308917</c:v>
                </c:pt>
                <c:pt idx="53">
                  <c:v>6022.852375308917</c:v>
                </c:pt>
                <c:pt idx="54">
                  <c:v>6022.852375308917</c:v>
                </c:pt>
                <c:pt idx="55">
                  <c:v>6022.852375308917</c:v>
                </c:pt>
                <c:pt idx="56">
                  <c:v>6022.852375308917</c:v>
                </c:pt>
                <c:pt idx="57">
                  <c:v>6022.852375308917</c:v>
                </c:pt>
                <c:pt idx="58">
                  <c:v>6022.852375308917</c:v>
                </c:pt>
                <c:pt idx="59">
                  <c:v>6022.852375308917</c:v>
                </c:pt>
                <c:pt idx="60">
                  <c:v>6022.852375308917</c:v>
                </c:pt>
                <c:pt idx="61">
                  <c:v>6022.852375308917</c:v>
                </c:pt>
                <c:pt idx="62">
                  <c:v>6022.852375308917</c:v>
                </c:pt>
                <c:pt idx="63">
                  <c:v>6022.852375308917</c:v>
                </c:pt>
                <c:pt idx="64">
                  <c:v>6022.852375308917</c:v>
                </c:pt>
                <c:pt idx="65">
                  <c:v>6022.852375308917</c:v>
                </c:pt>
                <c:pt idx="66">
                  <c:v>6022.852375308917</c:v>
                </c:pt>
                <c:pt idx="67">
                  <c:v>6022.852375308917</c:v>
                </c:pt>
                <c:pt idx="68">
                  <c:v>6022.852375308917</c:v>
                </c:pt>
                <c:pt idx="69">
                  <c:v>6022.852375308917</c:v>
                </c:pt>
                <c:pt idx="70">
                  <c:v>6022.852375308917</c:v>
                </c:pt>
                <c:pt idx="71">
                  <c:v>4832.033567137551</c:v>
                </c:pt>
                <c:pt idx="72">
                  <c:v>4832.033567137551</c:v>
                </c:pt>
                <c:pt idx="73">
                  <c:v>4832.033567137551</c:v>
                </c:pt>
                <c:pt idx="74">
                  <c:v>4832.033567137551</c:v>
                </c:pt>
                <c:pt idx="75">
                  <c:v>4832.033567137551</c:v>
                </c:pt>
                <c:pt idx="76">
                  <c:v>4832.033567137551</c:v>
                </c:pt>
                <c:pt idx="77">
                  <c:v>4832.033567137551</c:v>
                </c:pt>
                <c:pt idx="78">
                  <c:v>4832.033567137551</c:v>
                </c:pt>
                <c:pt idx="79">
                  <c:v>4832.033567137551</c:v>
                </c:pt>
                <c:pt idx="80">
                  <c:v>4832.033567137551</c:v>
                </c:pt>
                <c:pt idx="81">
                  <c:v>4832.033567137551</c:v>
                </c:pt>
                <c:pt idx="82">
                  <c:v>4832.033567137551</c:v>
                </c:pt>
                <c:pt idx="83">
                  <c:v>4832.033567137551</c:v>
                </c:pt>
                <c:pt idx="84">
                  <c:v>4832.033567137551</c:v>
                </c:pt>
                <c:pt idx="85">
                  <c:v>4832.033567137551</c:v>
                </c:pt>
                <c:pt idx="86">
                  <c:v>4832.033567137551</c:v>
                </c:pt>
                <c:pt idx="87">
                  <c:v>4832.033567137551</c:v>
                </c:pt>
                <c:pt idx="88">
                  <c:v>4832.033567137551</c:v>
                </c:pt>
                <c:pt idx="89">
                  <c:v>1504.872820885252</c:v>
                </c:pt>
                <c:pt idx="90">
                  <c:v>1504.872820885252</c:v>
                </c:pt>
                <c:pt idx="91">
                  <c:v>1504.872820885252</c:v>
                </c:pt>
                <c:pt idx="92">
                  <c:v>1504.872820885252</c:v>
                </c:pt>
                <c:pt idx="93">
                  <c:v>1504.872820885252</c:v>
                </c:pt>
                <c:pt idx="94">
                  <c:v>1504.872820885252</c:v>
                </c:pt>
                <c:pt idx="95">
                  <c:v>1504.872820885252</c:v>
                </c:pt>
                <c:pt idx="96">
                  <c:v>1504.872820885252</c:v>
                </c:pt>
                <c:pt idx="97">
                  <c:v>1504.872820885252</c:v>
                </c:pt>
                <c:pt idx="98">
                  <c:v>1504.872820885252</c:v>
                </c:pt>
                <c:pt idx="99">
                  <c:v>1504.872820885252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11008.24687963508</c:v>
                </c:pt>
                <c:pt idx="1">
                  <c:v>11008.24687963508</c:v>
                </c:pt>
                <c:pt idx="2">
                  <c:v>11008.24687963508</c:v>
                </c:pt>
                <c:pt idx="3">
                  <c:v>11008.24687963508</c:v>
                </c:pt>
                <c:pt idx="4">
                  <c:v>11008.24687963508</c:v>
                </c:pt>
                <c:pt idx="5">
                  <c:v>11008.24687963508</c:v>
                </c:pt>
                <c:pt idx="6">
                  <c:v>11008.24687963508</c:v>
                </c:pt>
                <c:pt idx="7">
                  <c:v>11008.24687963508</c:v>
                </c:pt>
                <c:pt idx="8">
                  <c:v>11008.24687963508</c:v>
                </c:pt>
                <c:pt idx="9">
                  <c:v>11008.24687963508</c:v>
                </c:pt>
                <c:pt idx="10">
                  <c:v>11008.24687963508</c:v>
                </c:pt>
                <c:pt idx="11">
                  <c:v>11008.24687963508</c:v>
                </c:pt>
                <c:pt idx="12">
                  <c:v>11008.24687963508</c:v>
                </c:pt>
                <c:pt idx="13">
                  <c:v>11008.24687963508</c:v>
                </c:pt>
                <c:pt idx="14">
                  <c:v>11008.24687963508</c:v>
                </c:pt>
                <c:pt idx="15">
                  <c:v>11008.24687963508</c:v>
                </c:pt>
                <c:pt idx="16">
                  <c:v>11008.24687963508</c:v>
                </c:pt>
                <c:pt idx="17">
                  <c:v>11008.24687963508</c:v>
                </c:pt>
                <c:pt idx="18">
                  <c:v>11008.24687963508</c:v>
                </c:pt>
                <c:pt idx="19">
                  <c:v>11008.24687963508</c:v>
                </c:pt>
                <c:pt idx="20">
                  <c:v>11008.24687963508</c:v>
                </c:pt>
                <c:pt idx="21">
                  <c:v>11008.24687963508</c:v>
                </c:pt>
                <c:pt idx="22">
                  <c:v>11008.24687963508</c:v>
                </c:pt>
                <c:pt idx="23">
                  <c:v>11008.24687963508</c:v>
                </c:pt>
                <c:pt idx="24">
                  <c:v>11008.24687963508</c:v>
                </c:pt>
                <c:pt idx="25">
                  <c:v>11008.24687963508</c:v>
                </c:pt>
                <c:pt idx="26">
                  <c:v>11008.24687963508</c:v>
                </c:pt>
                <c:pt idx="27">
                  <c:v>11008.24687963508</c:v>
                </c:pt>
                <c:pt idx="28">
                  <c:v>11008.24687963508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3518.052231950045</c:v>
                </c:pt>
                <c:pt idx="30">
                  <c:v>3518.052231950045</c:v>
                </c:pt>
                <c:pt idx="31">
                  <c:v>3518.052231950045</c:v>
                </c:pt>
                <c:pt idx="32">
                  <c:v>3518.052231950045</c:v>
                </c:pt>
                <c:pt idx="33">
                  <c:v>3518.052231950045</c:v>
                </c:pt>
                <c:pt idx="34">
                  <c:v>3518.052231950045</c:v>
                </c:pt>
                <c:pt idx="35">
                  <c:v>3518.052231950045</c:v>
                </c:pt>
                <c:pt idx="36">
                  <c:v>3518.052231950045</c:v>
                </c:pt>
                <c:pt idx="37">
                  <c:v>3518.052231950045</c:v>
                </c:pt>
                <c:pt idx="38">
                  <c:v>3518.052231950045</c:v>
                </c:pt>
                <c:pt idx="39">
                  <c:v>3518.052231950045</c:v>
                </c:pt>
                <c:pt idx="40">
                  <c:v>3518.052231950045</c:v>
                </c:pt>
                <c:pt idx="41">
                  <c:v>3518.052231950045</c:v>
                </c:pt>
                <c:pt idx="42">
                  <c:v>3518.052231950045</c:v>
                </c:pt>
                <c:pt idx="43">
                  <c:v>3518.052231950045</c:v>
                </c:pt>
                <c:pt idx="44">
                  <c:v>3518.052231950045</c:v>
                </c:pt>
                <c:pt idx="45">
                  <c:v>3518.052231950045</c:v>
                </c:pt>
                <c:pt idx="46">
                  <c:v>3518.052231950045</c:v>
                </c:pt>
                <c:pt idx="47">
                  <c:v>3518.052231950045</c:v>
                </c:pt>
                <c:pt idx="48">
                  <c:v>3518.052231950045</c:v>
                </c:pt>
                <c:pt idx="49">
                  <c:v>3518.052231950045</c:v>
                </c:pt>
                <c:pt idx="50">
                  <c:v>3518.052231950045</c:v>
                </c:pt>
                <c:pt idx="51">
                  <c:v>3518.052231950045</c:v>
                </c:pt>
                <c:pt idx="52">
                  <c:v>3518.052231950045</c:v>
                </c:pt>
                <c:pt idx="53">
                  <c:v>3518.052231950045</c:v>
                </c:pt>
                <c:pt idx="54">
                  <c:v>3518.052231950045</c:v>
                </c:pt>
                <c:pt idx="55">
                  <c:v>3518.052231950045</c:v>
                </c:pt>
                <c:pt idx="56">
                  <c:v>3518.052231950045</c:v>
                </c:pt>
                <c:pt idx="57">
                  <c:v>3518.052231950045</c:v>
                </c:pt>
                <c:pt idx="58">
                  <c:v>3518.052231950045</c:v>
                </c:pt>
                <c:pt idx="59">
                  <c:v>3518.052231950045</c:v>
                </c:pt>
                <c:pt idx="60">
                  <c:v>3518.052231950045</c:v>
                </c:pt>
                <c:pt idx="61">
                  <c:v>3518.052231950045</c:v>
                </c:pt>
                <c:pt idx="62">
                  <c:v>3518.052231950045</c:v>
                </c:pt>
                <c:pt idx="63">
                  <c:v>3518.052231950045</c:v>
                </c:pt>
                <c:pt idx="64">
                  <c:v>3518.052231950045</c:v>
                </c:pt>
                <c:pt idx="65">
                  <c:v>3518.052231950045</c:v>
                </c:pt>
                <c:pt idx="66">
                  <c:v>3518.052231950045</c:v>
                </c:pt>
                <c:pt idx="67">
                  <c:v>3518.052231950045</c:v>
                </c:pt>
                <c:pt idx="68">
                  <c:v>3518.052231950045</c:v>
                </c:pt>
                <c:pt idx="69">
                  <c:v>3518.052231950045</c:v>
                </c:pt>
                <c:pt idx="70">
                  <c:v>3518.052231950045</c:v>
                </c:pt>
                <c:pt idx="71">
                  <c:v>4368.351936363126</c:v>
                </c:pt>
                <c:pt idx="72">
                  <c:v>4368.351936363126</c:v>
                </c:pt>
                <c:pt idx="73">
                  <c:v>4368.351936363126</c:v>
                </c:pt>
                <c:pt idx="74">
                  <c:v>4368.351936363126</c:v>
                </c:pt>
                <c:pt idx="75">
                  <c:v>4368.351936363126</c:v>
                </c:pt>
                <c:pt idx="76">
                  <c:v>4368.351936363126</c:v>
                </c:pt>
                <c:pt idx="77">
                  <c:v>4368.351936363126</c:v>
                </c:pt>
                <c:pt idx="78">
                  <c:v>4368.351936363126</c:v>
                </c:pt>
                <c:pt idx="79">
                  <c:v>4368.351936363126</c:v>
                </c:pt>
                <c:pt idx="80">
                  <c:v>4368.351936363126</c:v>
                </c:pt>
                <c:pt idx="81">
                  <c:v>4368.351936363126</c:v>
                </c:pt>
                <c:pt idx="82">
                  <c:v>4368.351936363126</c:v>
                </c:pt>
                <c:pt idx="83">
                  <c:v>4368.351936363126</c:v>
                </c:pt>
                <c:pt idx="84">
                  <c:v>4368.351936363126</c:v>
                </c:pt>
                <c:pt idx="85">
                  <c:v>4368.351936363126</c:v>
                </c:pt>
                <c:pt idx="86">
                  <c:v>4368.351936363126</c:v>
                </c:pt>
                <c:pt idx="87">
                  <c:v>4368.351936363126</c:v>
                </c:pt>
                <c:pt idx="88">
                  <c:v>4368.351936363126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9352600"/>
        <c:axId val="207933988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47494.88785213397</c:v>
                </c:pt>
                <c:pt idx="1">
                  <c:v>47494.88785213397</c:v>
                </c:pt>
                <c:pt idx="2">
                  <c:v>47494.88785213397</c:v>
                </c:pt>
                <c:pt idx="3">
                  <c:v>47494.88785213397</c:v>
                </c:pt>
                <c:pt idx="4">
                  <c:v>47494.88785213397</c:v>
                </c:pt>
                <c:pt idx="5">
                  <c:v>47494.88785213397</c:v>
                </c:pt>
                <c:pt idx="6">
                  <c:v>47494.88785213397</c:v>
                </c:pt>
                <c:pt idx="7">
                  <c:v>47494.88785213397</c:v>
                </c:pt>
                <c:pt idx="8">
                  <c:v>47494.88785213397</c:v>
                </c:pt>
                <c:pt idx="9">
                  <c:v>47494.88785213397</c:v>
                </c:pt>
                <c:pt idx="10">
                  <c:v>47494.88785213397</c:v>
                </c:pt>
                <c:pt idx="11">
                  <c:v>47494.88785213397</c:v>
                </c:pt>
                <c:pt idx="12">
                  <c:v>47494.88785213397</c:v>
                </c:pt>
                <c:pt idx="13">
                  <c:v>47494.88785213397</c:v>
                </c:pt>
                <c:pt idx="14">
                  <c:v>47494.88785213397</c:v>
                </c:pt>
                <c:pt idx="15">
                  <c:v>47494.88785213397</c:v>
                </c:pt>
                <c:pt idx="16">
                  <c:v>47494.88785213397</c:v>
                </c:pt>
                <c:pt idx="17">
                  <c:v>47494.88785213397</c:v>
                </c:pt>
                <c:pt idx="18">
                  <c:v>47494.88785213397</c:v>
                </c:pt>
                <c:pt idx="19">
                  <c:v>47494.88785213397</c:v>
                </c:pt>
                <c:pt idx="20">
                  <c:v>47494.88785213397</c:v>
                </c:pt>
                <c:pt idx="21">
                  <c:v>47494.88785213397</c:v>
                </c:pt>
                <c:pt idx="22">
                  <c:v>47494.88785213397</c:v>
                </c:pt>
                <c:pt idx="23">
                  <c:v>47494.88785213397</c:v>
                </c:pt>
                <c:pt idx="24">
                  <c:v>47494.88785213397</c:v>
                </c:pt>
                <c:pt idx="25">
                  <c:v>47494.88785213397</c:v>
                </c:pt>
                <c:pt idx="26">
                  <c:v>47494.88785213397</c:v>
                </c:pt>
                <c:pt idx="27">
                  <c:v>47494.88785213397</c:v>
                </c:pt>
                <c:pt idx="28">
                  <c:v>47494.88785213397</c:v>
                </c:pt>
                <c:pt idx="29">
                  <c:v>47494.88785213397</c:v>
                </c:pt>
                <c:pt idx="30">
                  <c:v>47494.88785213397</c:v>
                </c:pt>
                <c:pt idx="31">
                  <c:v>47494.88785213397</c:v>
                </c:pt>
                <c:pt idx="32">
                  <c:v>47494.88785213397</c:v>
                </c:pt>
                <c:pt idx="33">
                  <c:v>47494.88785213397</c:v>
                </c:pt>
                <c:pt idx="34">
                  <c:v>47494.88785213397</c:v>
                </c:pt>
                <c:pt idx="35">
                  <c:v>47494.88785213397</c:v>
                </c:pt>
                <c:pt idx="36">
                  <c:v>47494.88785213397</c:v>
                </c:pt>
                <c:pt idx="37">
                  <c:v>47494.88785213397</c:v>
                </c:pt>
                <c:pt idx="38">
                  <c:v>47494.88785213397</c:v>
                </c:pt>
                <c:pt idx="39">
                  <c:v>47494.88785213397</c:v>
                </c:pt>
                <c:pt idx="40">
                  <c:v>47494.88785213397</c:v>
                </c:pt>
                <c:pt idx="41">
                  <c:v>47494.88785213397</c:v>
                </c:pt>
                <c:pt idx="42">
                  <c:v>47494.88785213397</c:v>
                </c:pt>
                <c:pt idx="43">
                  <c:v>47494.88785213397</c:v>
                </c:pt>
                <c:pt idx="44">
                  <c:v>47494.88785213397</c:v>
                </c:pt>
                <c:pt idx="45">
                  <c:v>47494.88785213397</c:v>
                </c:pt>
                <c:pt idx="46">
                  <c:v>47494.88785213397</c:v>
                </c:pt>
                <c:pt idx="47">
                  <c:v>47494.88785213397</c:v>
                </c:pt>
                <c:pt idx="48">
                  <c:v>47494.88785213397</c:v>
                </c:pt>
                <c:pt idx="49">
                  <c:v>47494.88785213397</c:v>
                </c:pt>
                <c:pt idx="50">
                  <c:v>47494.88785213397</c:v>
                </c:pt>
                <c:pt idx="51">
                  <c:v>47494.88785213397</c:v>
                </c:pt>
                <c:pt idx="52">
                  <c:v>47494.88785213397</c:v>
                </c:pt>
                <c:pt idx="53">
                  <c:v>47494.88785213397</c:v>
                </c:pt>
                <c:pt idx="54">
                  <c:v>47494.88785213397</c:v>
                </c:pt>
                <c:pt idx="55">
                  <c:v>47494.88785213397</c:v>
                </c:pt>
                <c:pt idx="56">
                  <c:v>47494.88785213397</c:v>
                </c:pt>
                <c:pt idx="57">
                  <c:v>47494.88785213397</c:v>
                </c:pt>
                <c:pt idx="58">
                  <c:v>47494.88785213397</c:v>
                </c:pt>
                <c:pt idx="59">
                  <c:v>47494.88785213397</c:v>
                </c:pt>
                <c:pt idx="60">
                  <c:v>47494.88785213397</c:v>
                </c:pt>
                <c:pt idx="61">
                  <c:v>47494.88785213397</c:v>
                </c:pt>
                <c:pt idx="62">
                  <c:v>47494.88785213397</c:v>
                </c:pt>
                <c:pt idx="63">
                  <c:v>47494.88785213397</c:v>
                </c:pt>
                <c:pt idx="64">
                  <c:v>47494.88785213397</c:v>
                </c:pt>
                <c:pt idx="65">
                  <c:v>47494.88785213397</c:v>
                </c:pt>
                <c:pt idx="66">
                  <c:v>47494.88785213397</c:v>
                </c:pt>
                <c:pt idx="67">
                  <c:v>47494.88785213397</c:v>
                </c:pt>
                <c:pt idx="68">
                  <c:v>47494.88785213397</c:v>
                </c:pt>
                <c:pt idx="69">
                  <c:v>47494.88785213397</c:v>
                </c:pt>
                <c:pt idx="70">
                  <c:v>47494.88785213397</c:v>
                </c:pt>
                <c:pt idx="71">
                  <c:v>47494.88785213397</c:v>
                </c:pt>
                <c:pt idx="72">
                  <c:v>47494.88785213397</c:v>
                </c:pt>
                <c:pt idx="73">
                  <c:v>47494.88785213397</c:v>
                </c:pt>
                <c:pt idx="74">
                  <c:v>47494.88785213397</c:v>
                </c:pt>
                <c:pt idx="75">
                  <c:v>47494.88785213397</c:v>
                </c:pt>
                <c:pt idx="76">
                  <c:v>47494.88785213397</c:v>
                </c:pt>
                <c:pt idx="77">
                  <c:v>47494.88785213397</c:v>
                </c:pt>
                <c:pt idx="78">
                  <c:v>47494.88785213397</c:v>
                </c:pt>
                <c:pt idx="79">
                  <c:v>47494.88785213397</c:v>
                </c:pt>
                <c:pt idx="80">
                  <c:v>47494.88785213397</c:v>
                </c:pt>
                <c:pt idx="81">
                  <c:v>47494.88785213397</c:v>
                </c:pt>
                <c:pt idx="82">
                  <c:v>47494.88785213397</c:v>
                </c:pt>
                <c:pt idx="83">
                  <c:v>47494.88785213397</c:v>
                </c:pt>
                <c:pt idx="84">
                  <c:v>47494.88785213397</c:v>
                </c:pt>
                <c:pt idx="85">
                  <c:v>47494.88785213397</c:v>
                </c:pt>
                <c:pt idx="86">
                  <c:v>47494.88785213397</c:v>
                </c:pt>
                <c:pt idx="87">
                  <c:v>47494.88785213397</c:v>
                </c:pt>
                <c:pt idx="88">
                  <c:v>47494.88785213397</c:v>
                </c:pt>
                <c:pt idx="89">
                  <c:v>47494.88785213397</c:v>
                </c:pt>
                <c:pt idx="90">
                  <c:v>47494.88785213397</c:v>
                </c:pt>
                <c:pt idx="91">
                  <c:v>47494.88785213397</c:v>
                </c:pt>
                <c:pt idx="92">
                  <c:v>47494.88785213397</c:v>
                </c:pt>
                <c:pt idx="93">
                  <c:v>47494.88785213397</c:v>
                </c:pt>
                <c:pt idx="94">
                  <c:v>47494.88785213397</c:v>
                </c:pt>
                <c:pt idx="95">
                  <c:v>47494.88785213397</c:v>
                </c:pt>
                <c:pt idx="96">
                  <c:v>47494.88785213397</c:v>
                </c:pt>
                <c:pt idx="97">
                  <c:v>47494.88785213397</c:v>
                </c:pt>
                <c:pt idx="98">
                  <c:v>47494.88785213397</c:v>
                </c:pt>
                <c:pt idx="99">
                  <c:v>47494.88785213397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352600"/>
        <c:axId val="207933988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56414.57780943626</c:v>
                </c:pt>
                <c:pt idx="3">
                  <c:v>56960.40566827224</c:v>
                </c:pt>
                <c:pt idx="4">
                  <c:v>57506.2335271082</c:v>
                </c:pt>
                <c:pt idx="5">
                  <c:v>58052.06138594418</c:v>
                </c:pt>
                <c:pt idx="6">
                  <c:v>58597.88924478015</c:v>
                </c:pt>
                <c:pt idx="7">
                  <c:v>59143.71710361613</c:v>
                </c:pt>
                <c:pt idx="8">
                  <c:v>59689.5449624521</c:v>
                </c:pt>
                <c:pt idx="9">
                  <c:v>60235.37282128808</c:v>
                </c:pt>
                <c:pt idx="10">
                  <c:v>60781.20068012406</c:v>
                </c:pt>
                <c:pt idx="11">
                  <c:v>61327.02853896003</c:v>
                </c:pt>
                <c:pt idx="12">
                  <c:v>61872.856397796</c:v>
                </c:pt>
                <c:pt idx="13">
                  <c:v>62418.68425663198</c:v>
                </c:pt>
                <c:pt idx="14">
                  <c:v>62964.51211546795</c:v>
                </c:pt>
                <c:pt idx="15">
                  <c:v>63510.33997430393</c:v>
                </c:pt>
                <c:pt idx="16">
                  <c:v>64056.1678331399</c:v>
                </c:pt>
                <c:pt idx="17">
                  <c:v>64601.99569197588</c:v>
                </c:pt>
                <c:pt idx="18">
                  <c:v>65147.82355081185</c:v>
                </c:pt>
                <c:pt idx="19">
                  <c:v>65693.65140964783</c:v>
                </c:pt>
                <c:pt idx="20">
                  <c:v>66239.4792684838</c:v>
                </c:pt>
                <c:pt idx="21">
                  <c:v>66785.30712731977</c:v>
                </c:pt>
                <c:pt idx="22">
                  <c:v>67331.13498615575</c:v>
                </c:pt>
                <c:pt idx="23">
                  <c:v>67876.96284499172</c:v>
                </c:pt>
                <c:pt idx="24">
                  <c:v>68422.7907038277</c:v>
                </c:pt>
                <c:pt idx="25">
                  <c:v>68968.61856266367</c:v>
                </c:pt>
                <c:pt idx="26">
                  <c:v>69514.44642149966</c:v>
                </c:pt>
                <c:pt idx="27">
                  <c:v>70060.27428033562</c:v>
                </c:pt>
                <c:pt idx="28">
                  <c:v>70606.10213917161</c:v>
                </c:pt>
                <c:pt idx="29">
                  <c:v>71151.92999800757</c:v>
                </c:pt>
                <c:pt idx="30">
                  <c:v>71697.75785684356</c:v>
                </c:pt>
                <c:pt idx="31">
                  <c:v>72243.58571567952</c:v>
                </c:pt>
                <c:pt idx="32">
                  <c:v>72789.41357451549</c:v>
                </c:pt>
                <c:pt idx="33">
                  <c:v>73335.24143335148</c:v>
                </c:pt>
                <c:pt idx="34">
                  <c:v>73881.06929218746</c:v>
                </c:pt>
                <c:pt idx="35">
                  <c:v>74426.89715102343</c:v>
                </c:pt>
                <c:pt idx="36">
                  <c:v>74972.7250098594</c:v>
                </c:pt>
                <c:pt idx="37">
                  <c:v>75518.55286869537</c:v>
                </c:pt>
                <c:pt idx="38">
                  <c:v>80832.26127816408</c:v>
                </c:pt>
                <c:pt idx="39">
                  <c:v>86145.96968763278</c:v>
                </c:pt>
                <c:pt idx="40">
                  <c:v>91459.67809710148</c:v>
                </c:pt>
                <c:pt idx="41">
                  <c:v>96773.38650657018</c:v>
                </c:pt>
                <c:pt idx="42">
                  <c:v>102087.0949160389</c:v>
                </c:pt>
                <c:pt idx="43">
                  <c:v>107400.8033255076</c:v>
                </c:pt>
                <c:pt idx="44">
                  <c:v>112714.5117349763</c:v>
                </c:pt>
                <c:pt idx="45">
                  <c:v>118028.220144445</c:v>
                </c:pt>
                <c:pt idx="46">
                  <c:v>123341.9285539137</c:v>
                </c:pt>
                <c:pt idx="47">
                  <c:v>128655.6369633824</c:v>
                </c:pt>
                <c:pt idx="48">
                  <c:v>133969.3453728511</c:v>
                </c:pt>
                <c:pt idx="49">
                  <c:v>139283.0537823198</c:v>
                </c:pt>
                <c:pt idx="50">
                  <c:v>144596.7621917885</c:v>
                </c:pt>
                <c:pt idx="51">
                  <c:v>149910.4706012572</c:v>
                </c:pt>
                <c:pt idx="52">
                  <c:v>155224.1790107259</c:v>
                </c:pt>
                <c:pt idx="53">
                  <c:v>160537.8874201946</c:v>
                </c:pt>
                <c:pt idx="54">
                  <c:v>165851.5958296633</c:v>
                </c:pt>
                <c:pt idx="55">
                  <c:v>171165.304239132</c:v>
                </c:pt>
                <c:pt idx="56">
                  <c:v>176479.0126486007</c:v>
                </c:pt>
                <c:pt idx="57">
                  <c:v>181792.7210580694</c:v>
                </c:pt>
                <c:pt idx="58">
                  <c:v>187106.4294675381</c:v>
                </c:pt>
                <c:pt idx="59">
                  <c:v>192420.1378770068</c:v>
                </c:pt>
                <c:pt idx="60">
                  <c:v>197733.8462864755</c:v>
                </c:pt>
                <c:pt idx="61">
                  <c:v>203047.5546959442</c:v>
                </c:pt>
                <c:pt idx="62">
                  <c:v>208361.2631054129</c:v>
                </c:pt>
                <c:pt idx="63">
                  <c:v>213674.9715148816</c:v>
                </c:pt>
                <c:pt idx="64">
                  <c:v>218988.6799243503</c:v>
                </c:pt>
                <c:pt idx="65">
                  <c:v>224302.388333819</c:v>
                </c:pt>
                <c:pt idx="66">
                  <c:v>229616.0967432877</c:v>
                </c:pt>
                <c:pt idx="67">
                  <c:v>234929.8051527564</c:v>
                </c:pt>
                <c:pt idx="68">
                  <c:v>255642.7654935582</c:v>
                </c:pt>
                <c:pt idx="69">
                  <c:v>276355.7258343599</c:v>
                </c:pt>
                <c:pt idx="70">
                  <c:v>297068.6861751617</c:v>
                </c:pt>
                <c:pt idx="71">
                  <c:v>317781.6465159635</c:v>
                </c:pt>
                <c:pt idx="72">
                  <c:v>338494.6068567652</c:v>
                </c:pt>
                <c:pt idx="73">
                  <c:v>359207.567197567</c:v>
                </c:pt>
                <c:pt idx="74">
                  <c:v>379920.5275383688</c:v>
                </c:pt>
                <c:pt idx="75">
                  <c:v>400633.4878791705</c:v>
                </c:pt>
                <c:pt idx="76">
                  <c:v>421346.4482199723</c:v>
                </c:pt>
                <c:pt idx="77">
                  <c:v>442059.4085607741</c:v>
                </c:pt>
                <c:pt idx="78">
                  <c:v>462772.3689015759</c:v>
                </c:pt>
                <c:pt idx="79">
                  <c:v>483485.3292423776</c:v>
                </c:pt>
                <c:pt idx="80">
                  <c:v>504198.2895831794</c:v>
                </c:pt>
                <c:pt idx="81">
                  <c:v>524911.2499239812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352600"/>
        <c:axId val="2079339880"/>
      </c:scatterChart>
      <c:catAx>
        <c:axId val="207935260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933988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7933988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935260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2439678284182"/>
          <c:y val="0.158208720178634"/>
          <c:w val="0.159517426273459"/>
          <c:h val="0.6507455635209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1993.752285051856</c:v>
                </c:pt>
                <c:pt idx="1">
                  <c:v>1993.752285051856</c:v>
                </c:pt>
                <c:pt idx="2">
                  <c:v>1993.752285051856</c:v>
                </c:pt>
                <c:pt idx="3">
                  <c:v>1993.752285051856</c:v>
                </c:pt>
                <c:pt idx="4">
                  <c:v>1993.752285051856</c:v>
                </c:pt>
                <c:pt idx="5">
                  <c:v>1993.752285051856</c:v>
                </c:pt>
                <c:pt idx="6">
                  <c:v>1993.752285051856</c:v>
                </c:pt>
                <c:pt idx="7">
                  <c:v>1993.752285051856</c:v>
                </c:pt>
                <c:pt idx="8">
                  <c:v>1993.752285051856</c:v>
                </c:pt>
                <c:pt idx="9">
                  <c:v>1993.752285051856</c:v>
                </c:pt>
                <c:pt idx="10">
                  <c:v>1993.752285051856</c:v>
                </c:pt>
                <c:pt idx="11">
                  <c:v>1993.752285051856</c:v>
                </c:pt>
                <c:pt idx="12">
                  <c:v>1993.752285051856</c:v>
                </c:pt>
                <c:pt idx="13">
                  <c:v>1993.752285051856</c:v>
                </c:pt>
                <c:pt idx="14">
                  <c:v>1993.752285051856</c:v>
                </c:pt>
                <c:pt idx="15">
                  <c:v>2014.23712052362</c:v>
                </c:pt>
                <c:pt idx="16">
                  <c:v>2055.206791467147</c:v>
                </c:pt>
                <c:pt idx="17">
                  <c:v>2096.176462410675</c:v>
                </c:pt>
                <c:pt idx="18">
                  <c:v>2137.146133354202</c:v>
                </c:pt>
                <c:pt idx="19">
                  <c:v>2178.115804297729</c:v>
                </c:pt>
                <c:pt idx="20">
                  <c:v>2219.085475241256</c:v>
                </c:pt>
                <c:pt idx="21">
                  <c:v>2260.055146184783</c:v>
                </c:pt>
                <c:pt idx="22">
                  <c:v>2301.02481712831</c:v>
                </c:pt>
                <c:pt idx="23">
                  <c:v>2341.994488071838</c:v>
                </c:pt>
                <c:pt idx="24">
                  <c:v>2382.964159015365</c:v>
                </c:pt>
                <c:pt idx="25">
                  <c:v>2423.933829958892</c:v>
                </c:pt>
                <c:pt idx="26">
                  <c:v>2464.90350090242</c:v>
                </c:pt>
                <c:pt idx="27">
                  <c:v>2505.873171845946</c:v>
                </c:pt>
                <c:pt idx="28">
                  <c:v>2546.842842789473</c:v>
                </c:pt>
                <c:pt idx="29">
                  <c:v>2587.812513733</c:v>
                </c:pt>
                <c:pt idx="30">
                  <c:v>2628.782184676528</c:v>
                </c:pt>
                <c:pt idx="31">
                  <c:v>2669.751855620055</c:v>
                </c:pt>
                <c:pt idx="32">
                  <c:v>2710.721526563582</c:v>
                </c:pt>
                <c:pt idx="33">
                  <c:v>2751.69119750711</c:v>
                </c:pt>
                <c:pt idx="34">
                  <c:v>2792.660868450636</c:v>
                </c:pt>
                <c:pt idx="35">
                  <c:v>2833.630539394164</c:v>
                </c:pt>
                <c:pt idx="36">
                  <c:v>2874.600210337691</c:v>
                </c:pt>
                <c:pt idx="37">
                  <c:v>2915.569881281218</c:v>
                </c:pt>
                <c:pt idx="38">
                  <c:v>2956.539552224745</c:v>
                </c:pt>
                <c:pt idx="39">
                  <c:v>2997.509223168272</c:v>
                </c:pt>
                <c:pt idx="40">
                  <c:v>3038.478894111799</c:v>
                </c:pt>
                <c:pt idx="41">
                  <c:v>3079.448565055327</c:v>
                </c:pt>
                <c:pt idx="42">
                  <c:v>3120.418235998854</c:v>
                </c:pt>
                <c:pt idx="43">
                  <c:v>3161.387906942381</c:v>
                </c:pt>
                <c:pt idx="44">
                  <c:v>3202.357577885908</c:v>
                </c:pt>
                <c:pt idx="45">
                  <c:v>3243.327248829436</c:v>
                </c:pt>
                <c:pt idx="46">
                  <c:v>3284.296919772963</c:v>
                </c:pt>
                <c:pt idx="47">
                  <c:v>3325.26659071649</c:v>
                </c:pt>
                <c:pt idx="48">
                  <c:v>3366.236261660018</c:v>
                </c:pt>
                <c:pt idx="49">
                  <c:v>3407.205932603544</c:v>
                </c:pt>
                <c:pt idx="50">
                  <c:v>3448.175603547072</c:v>
                </c:pt>
                <c:pt idx="51">
                  <c:v>3416.274087374232</c:v>
                </c:pt>
                <c:pt idx="52">
                  <c:v>3384.372571201393</c:v>
                </c:pt>
                <c:pt idx="53">
                  <c:v>3352.471055028554</c:v>
                </c:pt>
                <c:pt idx="54">
                  <c:v>3320.569538855715</c:v>
                </c:pt>
                <c:pt idx="55">
                  <c:v>3288.668022682876</c:v>
                </c:pt>
                <c:pt idx="56">
                  <c:v>3256.766506510037</c:v>
                </c:pt>
                <c:pt idx="57">
                  <c:v>3224.864990337197</c:v>
                </c:pt>
                <c:pt idx="58">
                  <c:v>3192.963474164359</c:v>
                </c:pt>
                <c:pt idx="59">
                  <c:v>3161.06195799152</c:v>
                </c:pt>
                <c:pt idx="60">
                  <c:v>3129.16044181868</c:v>
                </c:pt>
                <c:pt idx="61">
                  <c:v>3097.258925645841</c:v>
                </c:pt>
                <c:pt idx="62">
                  <c:v>3065.357409473002</c:v>
                </c:pt>
                <c:pt idx="63">
                  <c:v>3033.455893300163</c:v>
                </c:pt>
                <c:pt idx="64">
                  <c:v>3001.554377127323</c:v>
                </c:pt>
                <c:pt idx="65">
                  <c:v>2969.652860954484</c:v>
                </c:pt>
                <c:pt idx="66">
                  <c:v>2937.751344781645</c:v>
                </c:pt>
                <c:pt idx="67">
                  <c:v>2905.849828608806</c:v>
                </c:pt>
                <c:pt idx="68">
                  <c:v>2873.948312435967</c:v>
                </c:pt>
                <c:pt idx="69">
                  <c:v>2842.046796263128</c:v>
                </c:pt>
                <c:pt idx="70">
                  <c:v>2810.145280090288</c:v>
                </c:pt>
                <c:pt idx="71">
                  <c:v>2778.24376391745</c:v>
                </c:pt>
                <c:pt idx="72">
                  <c:v>2746.34224774461</c:v>
                </c:pt>
                <c:pt idx="73">
                  <c:v>2714.440731571771</c:v>
                </c:pt>
                <c:pt idx="74">
                  <c:v>2682.539215398932</c:v>
                </c:pt>
                <c:pt idx="75">
                  <c:v>2650.637699226093</c:v>
                </c:pt>
                <c:pt idx="76">
                  <c:v>2618.736183053254</c:v>
                </c:pt>
                <c:pt idx="77">
                  <c:v>2586.834666880414</c:v>
                </c:pt>
                <c:pt idx="78">
                  <c:v>2554.933150707575</c:v>
                </c:pt>
                <c:pt idx="79">
                  <c:v>2523.031634534736</c:v>
                </c:pt>
                <c:pt idx="80">
                  <c:v>2491.130118361897</c:v>
                </c:pt>
                <c:pt idx="81">
                  <c:v>2465.045596688793</c:v>
                </c:pt>
                <c:pt idx="82">
                  <c:v>2438.96107501569</c:v>
                </c:pt>
                <c:pt idx="83">
                  <c:v>2412.876553342586</c:v>
                </c:pt>
                <c:pt idx="84">
                  <c:v>2386.792031669483</c:v>
                </c:pt>
                <c:pt idx="85">
                  <c:v>2360.70750999638</c:v>
                </c:pt>
                <c:pt idx="86">
                  <c:v>2334.622988323275</c:v>
                </c:pt>
                <c:pt idx="87">
                  <c:v>2308.538466650172</c:v>
                </c:pt>
                <c:pt idx="88">
                  <c:v>2282.453944977068</c:v>
                </c:pt>
                <c:pt idx="89">
                  <c:v>2256.369423303965</c:v>
                </c:pt>
                <c:pt idx="90">
                  <c:v>2230.284901630861</c:v>
                </c:pt>
                <c:pt idx="91">
                  <c:v>2204.200379957757</c:v>
                </c:pt>
                <c:pt idx="92">
                  <c:v>2178.115858284654</c:v>
                </c:pt>
                <c:pt idx="93">
                  <c:v>2152.03133661155</c:v>
                </c:pt>
                <c:pt idx="94">
                  <c:v>2125.946814938447</c:v>
                </c:pt>
                <c:pt idx="95">
                  <c:v>2112.904554101895</c:v>
                </c:pt>
                <c:pt idx="96">
                  <c:v>2112.904554101895</c:v>
                </c:pt>
                <c:pt idx="97">
                  <c:v>2112.904554101895</c:v>
                </c:pt>
                <c:pt idx="98">
                  <c:v>2112.904554101895</c:v>
                </c:pt>
                <c:pt idx="99">
                  <c:v>2112.904554101895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73.38831253090055</c:v>
                </c:pt>
                <c:pt idx="1">
                  <c:v>73.38831253090055</c:v>
                </c:pt>
                <c:pt idx="2">
                  <c:v>73.38831253090055</c:v>
                </c:pt>
                <c:pt idx="3">
                  <c:v>73.38831253090055</c:v>
                </c:pt>
                <c:pt idx="4">
                  <c:v>73.38831253090055</c:v>
                </c:pt>
                <c:pt idx="5">
                  <c:v>73.38831253090055</c:v>
                </c:pt>
                <c:pt idx="6">
                  <c:v>73.38831253090055</c:v>
                </c:pt>
                <c:pt idx="7">
                  <c:v>73.38831253090055</c:v>
                </c:pt>
                <c:pt idx="8">
                  <c:v>73.38831253090055</c:v>
                </c:pt>
                <c:pt idx="9">
                  <c:v>73.38831253090055</c:v>
                </c:pt>
                <c:pt idx="10">
                  <c:v>73.38831253090055</c:v>
                </c:pt>
                <c:pt idx="11">
                  <c:v>73.38831253090055</c:v>
                </c:pt>
                <c:pt idx="12">
                  <c:v>73.38831253090055</c:v>
                </c:pt>
                <c:pt idx="13">
                  <c:v>73.38831253090055</c:v>
                </c:pt>
                <c:pt idx="14">
                  <c:v>73.38831253090055</c:v>
                </c:pt>
                <c:pt idx="15">
                  <c:v>113.2910540566515</c:v>
                </c:pt>
                <c:pt idx="16">
                  <c:v>193.0965371081531</c:v>
                </c:pt>
                <c:pt idx="17">
                  <c:v>272.9020201596546</c:v>
                </c:pt>
                <c:pt idx="18">
                  <c:v>352.7075032111562</c:v>
                </c:pt>
                <c:pt idx="19">
                  <c:v>432.5129862626578</c:v>
                </c:pt>
                <c:pt idx="20">
                  <c:v>512.3184693141593</c:v>
                </c:pt>
                <c:pt idx="21">
                  <c:v>592.1239523656608</c:v>
                </c:pt>
                <c:pt idx="22">
                  <c:v>671.9294354171624</c:v>
                </c:pt>
                <c:pt idx="23">
                  <c:v>751.734918468664</c:v>
                </c:pt>
                <c:pt idx="24">
                  <c:v>831.5404015201656</c:v>
                </c:pt>
                <c:pt idx="25">
                  <c:v>911.3458845716672</c:v>
                </c:pt>
                <c:pt idx="26">
                  <c:v>991.1513676231688</c:v>
                </c:pt>
                <c:pt idx="27">
                  <c:v>1070.95685067467</c:v>
                </c:pt>
                <c:pt idx="28">
                  <c:v>1150.762333726172</c:v>
                </c:pt>
                <c:pt idx="29">
                  <c:v>1230.567816777673</c:v>
                </c:pt>
                <c:pt idx="30">
                  <c:v>1310.373299829175</c:v>
                </c:pt>
                <c:pt idx="31">
                  <c:v>1390.178782880676</c:v>
                </c:pt>
                <c:pt idx="32">
                  <c:v>1469.984265932178</c:v>
                </c:pt>
                <c:pt idx="33">
                  <c:v>1549.78974898368</c:v>
                </c:pt>
                <c:pt idx="34">
                  <c:v>1629.595232035181</c:v>
                </c:pt>
                <c:pt idx="35">
                  <c:v>1709.400715086683</c:v>
                </c:pt>
                <c:pt idx="36">
                  <c:v>1789.206198138184</c:v>
                </c:pt>
                <c:pt idx="37">
                  <c:v>1869.011681189686</c:v>
                </c:pt>
                <c:pt idx="38">
                  <c:v>1948.817164241187</c:v>
                </c:pt>
                <c:pt idx="39">
                  <c:v>2028.622647292689</c:v>
                </c:pt>
                <c:pt idx="40">
                  <c:v>2108.428130344191</c:v>
                </c:pt>
                <c:pt idx="41">
                  <c:v>2188.233613395693</c:v>
                </c:pt>
                <c:pt idx="42">
                  <c:v>2268.039096447194</c:v>
                </c:pt>
                <c:pt idx="43">
                  <c:v>2347.844579498696</c:v>
                </c:pt>
                <c:pt idx="44">
                  <c:v>2427.650062550197</c:v>
                </c:pt>
                <c:pt idx="45">
                  <c:v>2507.455545601699</c:v>
                </c:pt>
                <c:pt idx="46">
                  <c:v>2587.2610286532</c:v>
                </c:pt>
                <c:pt idx="47">
                  <c:v>2667.066511704702</c:v>
                </c:pt>
                <c:pt idx="48">
                  <c:v>2746.871994756203</c:v>
                </c:pt>
                <c:pt idx="49">
                  <c:v>2826.677477807705</c:v>
                </c:pt>
                <c:pt idx="50">
                  <c:v>2906.482960859207</c:v>
                </c:pt>
                <c:pt idx="51">
                  <c:v>2861.437971808742</c:v>
                </c:pt>
                <c:pt idx="52">
                  <c:v>2816.392982758278</c:v>
                </c:pt>
                <c:pt idx="53">
                  <c:v>2771.347993707813</c:v>
                </c:pt>
                <c:pt idx="54">
                  <c:v>2726.303004657349</c:v>
                </c:pt>
                <c:pt idx="55">
                  <c:v>2681.258015606884</c:v>
                </c:pt>
                <c:pt idx="56">
                  <c:v>2636.21302655642</c:v>
                </c:pt>
                <c:pt idx="57">
                  <c:v>2591.168037505955</c:v>
                </c:pt>
                <c:pt idx="58">
                  <c:v>2546.123048455491</c:v>
                </c:pt>
                <c:pt idx="59">
                  <c:v>2501.078059405027</c:v>
                </c:pt>
                <c:pt idx="60">
                  <c:v>2456.033070354562</c:v>
                </c:pt>
                <c:pt idx="61">
                  <c:v>2410.988081304098</c:v>
                </c:pt>
                <c:pt idx="62">
                  <c:v>2365.943092253633</c:v>
                </c:pt>
                <c:pt idx="63">
                  <c:v>2320.898103203168</c:v>
                </c:pt>
                <c:pt idx="64">
                  <c:v>2275.853114152704</c:v>
                </c:pt>
                <c:pt idx="65">
                  <c:v>2230.80812510224</c:v>
                </c:pt>
                <c:pt idx="66">
                  <c:v>2185.763136051775</c:v>
                </c:pt>
                <c:pt idx="67">
                  <c:v>2140.718147001311</c:v>
                </c:pt>
                <c:pt idx="68">
                  <c:v>2095.673157950847</c:v>
                </c:pt>
                <c:pt idx="69">
                  <c:v>2050.628168900382</c:v>
                </c:pt>
                <c:pt idx="70">
                  <c:v>2005.583179849918</c:v>
                </c:pt>
                <c:pt idx="71">
                  <c:v>1960.538190799453</c:v>
                </c:pt>
                <c:pt idx="72">
                  <c:v>1915.493201748989</c:v>
                </c:pt>
                <c:pt idx="73">
                  <c:v>1870.448212698524</c:v>
                </c:pt>
                <c:pt idx="74">
                  <c:v>1825.40322364806</c:v>
                </c:pt>
                <c:pt idx="75">
                  <c:v>1780.358234597595</c:v>
                </c:pt>
                <c:pt idx="76">
                  <c:v>1735.313245547131</c:v>
                </c:pt>
                <c:pt idx="77">
                  <c:v>1690.268256496666</c:v>
                </c:pt>
                <c:pt idx="78">
                  <c:v>1645.223267446202</c:v>
                </c:pt>
                <c:pt idx="79">
                  <c:v>1600.178278395738</c:v>
                </c:pt>
                <c:pt idx="80">
                  <c:v>1555.133289345273</c:v>
                </c:pt>
                <c:pt idx="81">
                  <c:v>5061.96186947537</c:v>
                </c:pt>
                <c:pt idx="82">
                  <c:v>8568.79044960547</c:v>
                </c:pt>
                <c:pt idx="83">
                  <c:v>12075.61902973557</c:v>
                </c:pt>
                <c:pt idx="84">
                  <c:v>15582.44760986567</c:v>
                </c:pt>
                <c:pt idx="85">
                  <c:v>19089.27618999577</c:v>
                </c:pt>
                <c:pt idx="86">
                  <c:v>22596.10477012587</c:v>
                </c:pt>
                <c:pt idx="87">
                  <c:v>26102.93335025596</c:v>
                </c:pt>
                <c:pt idx="88">
                  <c:v>29609.76193038607</c:v>
                </c:pt>
                <c:pt idx="89">
                  <c:v>33116.59051051617</c:v>
                </c:pt>
                <c:pt idx="90">
                  <c:v>36623.41909064626</c:v>
                </c:pt>
                <c:pt idx="91">
                  <c:v>40130.24767077636</c:v>
                </c:pt>
                <c:pt idx="92">
                  <c:v>43637.07625090645</c:v>
                </c:pt>
                <c:pt idx="93">
                  <c:v>47143.90483103656</c:v>
                </c:pt>
                <c:pt idx="94">
                  <c:v>50650.73341116665</c:v>
                </c:pt>
                <c:pt idx="95">
                  <c:v>52404.1477012317</c:v>
                </c:pt>
                <c:pt idx="96">
                  <c:v>52404.1477012317</c:v>
                </c:pt>
                <c:pt idx="97">
                  <c:v>52404.1477012317</c:v>
                </c:pt>
                <c:pt idx="98">
                  <c:v>52404.1477012317</c:v>
                </c:pt>
                <c:pt idx="99">
                  <c:v>52404.1477012317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9.020082926252131</c:v>
                </c:pt>
                <c:pt idx="16">
                  <c:v>27.06024877875633</c:v>
                </c:pt>
                <c:pt idx="17">
                  <c:v>45.10041463126053</c:v>
                </c:pt>
                <c:pt idx="18">
                  <c:v>63.14058048376472</c:v>
                </c:pt>
                <c:pt idx="19">
                  <c:v>81.18074633626892</c:v>
                </c:pt>
                <c:pt idx="20">
                  <c:v>99.22091218877313</c:v>
                </c:pt>
                <c:pt idx="21">
                  <c:v>117.2610780412773</c:v>
                </c:pt>
                <c:pt idx="22">
                  <c:v>135.3012438937815</c:v>
                </c:pt>
                <c:pt idx="23">
                  <c:v>153.3414097462857</c:v>
                </c:pt>
                <c:pt idx="24">
                  <c:v>171.38157559879</c:v>
                </c:pt>
                <c:pt idx="25">
                  <c:v>189.4217414512941</c:v>
                </c:pt>
                <c:pt idx="26">
                  <c:v>207.4619073037983</c:v>
                </c:pt>
                <c:pt idx="27">
                  <c:v>225.5020731563025</c:v>
                </c:pt>
                <c:pt idx="28">
                  <c:v>243.5422390088067</c:v>
                </c:pt>
                <c:pt idx="29">
                  <c:v>261.582404861311</c:v>
                </c:pt>
                <c:pt idx="30">
                  <c:v>279.6225707138151</c:v>
                </c:pt>
                <c:pt idx="31">
                  <c:v>297.6627365663193</c:v>
                </c:pt>
                <c:pt idx="32">
                  <c:v>315.7029024188235</c:v>
                </c:pt>
                <c:pt idx="33">
                  <c:v>333.7430682713277</c:v>
                </c:pt>
                <c:pt idx="34">
                  <c:v>351.7832341238318</c:v>
                </c:pt>
                <c:pt idx="35">
                  <c:v>369.8233999763361</c:v>
                </c:pt>
                <c:pt idx="36">
                  <c:v>387.8635658288402</c:v>
                </c:pt>
                <c:pt idx="37">
                  <c:v>405.9037316813444</c:v>
                </c:pt>
                <c:pt idx="38">
                  <c:v>423.9438975338486</c:v>
                </c:pt>
                <c:pt idx="39">
                  <c:v>441.9840633863529</c:v>
                </c:pt>
                <c:pt idx="40">
                  <c:v>460.0242292388571</c:v>
                </c:pt>
                <c:pt idx="41">
                  <c:v>478.0643950913612</c:v>
                </c:pt>
                <c:pt idx="42">
                  <c:v>496.1045609438654</c:v>
                </c:pt>
                <c:pt idx="43">
                  <c:v>514.1447267963696</c:v>
                </c:pt>
                <c:pt idx="44">
                  <c:v>532.1848926488738</c:v>
                </c:pt>
                <c:pt idx="45">
                  <c:v>550.225058501378</c:v>
                </c:pt>
                <c:pt idx="46">
                  <c:v>568.2652243538822</c:v>
                </c:pt>
                <c:pt idx="47">
                  <c:v>586.3053902063865</c:v>
                </c:pt>
                <c:pt idx="48">
                  <c:v>604.3455560588906</c:v>
                </c:pt>
                <c:pt idx="49">
                  <c:v>622.3857219113948</c:v>
                </c:pt>
                <c:pt idx="50">
                  <c:v>640.425887763899</c:v>
                </c:pt>
                <c:pt idx="51">
                  <c:v>643.475534848489</c:v>
                </c:pt>
                <c:pt idx="52">
                  <c:v>646.525181933079</c:v>
                </c:pt>
                <c:pt idx="53">
                  <c:v>649.574829017669</c:v>
                </c:pt>
                <c:pt idx="54">
                  <c:v>652.624476102259</c:v>
                </c:pt>
                <c:pt idx="55">
                  <c:v>655.674123186849</c:v>
                </c:pt>
                <c:pt idx="56">
                  <c:v>658.723770271439</c:v>
                </c:pt>
                <c:pt idx="57">
                  <c:v>661.773417356029</c:v>
                </c:pt>
                <c:pt idx="58">
                  <c:v>664.823064440619</c:v>
                </c:pt>
                <c:pt idx="59">
                  <c:v>667.872711525209</c:v>
                </c:pt>
                <c:pt idx="60">
                  <c:v>670.9223586097989</c:v>
                </c:pt>
                <c:pt idx="61">
                  <c:v>673.9720056943889</c:v>
                </c:pt>
                <c:pt idx="62">
                  <c:v>677.0216527789789</c:v>
                </c:pt>
                <c:pt idx="63">
                  <c:v>680.0712998635689</c:v>
                </c:pt>
                <c:pt idx="64">
                  <c:v>683.120946948159</c:v>
                </c:pt>
                <c:pt idx="65">
                  <c:v>686.170594032749</c:v>
                </c:pt>
                <c:pt idx="66">
                  <c:v>689.220241117339</c:v>
                </c:pt>
                <c:pt idx="67">
                  <c:v>692.2698882019289</c:v>
                </c:pt>
                <c:pt idx="68">
                  <c:v>695.3195352865189</c:v>
                </c:pt>
                <c:pt idx="69">
                  <c:v>698.3691823711089</c:v>
                </c:pt>
                <c:pt idx="70">
                  <c:v>701.4188294556989</c:v>
                </c:pt>
                <c:pt idx="71">
                  <c:v>704.4684765402888</c:v>
                </c:pt>
                <c:pt idx="72">
                  <c:v>707.5181236248789</c:v>
                </c:pt>
                <c:pt idx="73">
                  <c:v>710.5677707094688</c:v>
                </c:pt>
                <c:pt idx="74">
                  <c:v>713.6174177940588</c:v>
                </c:pt>
                <c:pt idx="75">
                  <c:v>716.6670648786488</c:v>
                </c:pt>
                <c:pt idx="76">
                  <c:v>719.7167119632388</c:v>
                </c:pt>
                <c:pt idx="77">
                  <c:v>722.7663590478288</c:v>
                </c:pt>
                <c:pt idx="78">
                  <c:v>725.8160061324188</c:v>
                </c:pt>
                <c:pt idx="79">
                  <c:v>728.8656532170088</c:v>
                </c:pt>
                <c:pt idx="80">
                  <c:v>731.9153003015988</c:v>
                </c:pt>
                <c:pt idx="81">
                  <c:v>868.4058991899336</c:v>
                </c:pt>
                <c:pt idx="82">
                  <c:v>1004.896498078268</c:v>
                </c:pt>
                <c:pt idx="83">
                  <c:v>1141.387096966603</c:v>
                </c:pt>
                <c:pt idx="84">
                  <c:v>1277.877695854938</c:v>
                </c:pt>
                <c:pt idx="85">
                  <c:v>1414.368294743273</c:v>
                </c:pt>
                <c:pt idx="86">
                  <c:v>1550.858893631608</c:v>
                </c:pt>
                <c:pt idx="87">
                  <c:v>1687.349492519943</c:v>
                </c:pt>
                <c:pt idx="88">
                  <c:v>1823.840091408278</c:v>
                </c:pt>
                <c:pt idx="89">
                  <c:v>1960.330690296612</c:v>
                </c:pt>
                <c:pt idx="90">
                  <c:v>2096.821289184947</c:v>
                </c:pt>
                <c:pt idx="91">
                  <c:v>2233.311888073282</c:v>
                </c:pt>
                <c:pt idx="92">
                  <c:v>2369.802486961617</c:v>
                </c:pt>
                <c:pt idx="93">
                  <c:v>2506.293085849952</c:v>
                </c:pt>
                <c:pt idx="94">
                  <c:v>2642.783684738287</c:v>
                </c:pt>
                <c:pt idx="95">
                  <c:v>2711.028984182454</c:v>
                </c:pt>
                <c:pt idx="96">
                  <c:v>2711.028984182454</c:v>
                </c:pt>
                <c:pt idx="97">
                  <c:v>2711.028984182454</c:v>
                </c:pt>
                <c:pt idx="98">
                  <c:v>2711.028984182454</c:v>
                </c:pt>
                <c:pt idx="99">
                  <c:v>2711.028984182454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104.4189927999818</c:v>
                </c:pt>
                <c:pt idx="16">
                  <c:v>313.2569783999447</c:v>
                </c:pt>
                <c:pt idx="17">
                  <c:v>522.0949639999074</c:v>
                </c:pt>
                <c:pt idx="18">
                  <c:v>730.9329495998704</c:v>
                </c:pt>
                <c:pt idx="19">
                  <c:v>939.7709351998331</c:v>
                </c:pt>
                <c:pt idx="20">
                  <c:v>1148.608920799796</c:v>
                </c:pt>
                <c:pt idx="21">
                  <c:v>1357.446906399759</c:v>
                </c:pt>
                <c:pt idx="22">
                  <c:v>1566.284891999722</c:v>
                </c:pt>
                <c:pt idx="23">
                  <c:v>1775.122877599685</c:v>
                </c:pt>
                <c:pt idx="24">
                  <c:v>1983.960863199648</c:v>
                </c:pt>
                <c:pt idx="25">
                  <c:v>2192.798848799611</c:v>
                </c:pt>
                <c:pt idx="26">
                  <c:v>2401.636834399573</c:v>
                </c:pt>
                <c:pt idx="27">
                  <c:v>2610.474819999536</c:v>
                </c:pt>
                <c:pt idx="28">
                  <c:v>2819.312805599499</c:v>
                </c:pt>
                <c:pt idx="29">
                  <c:v>3028.150791199462</c:v>
                </c:pt>
                <c:pt idx="30">
                  <c:v>3236.988776799425</c:v>
                </c:pt>
                <c:pt idx="31">
                  <c:v>3445.826762399387</c:v>
                </c:pt>
                <c:pt idx="32">
                  <c:v>3654.66474799935</c:v>
                </c:pt>
                <c:pt idx="33">
                  <c:v>3863.502733599313</c:v>
                </c:pt>
                <c:pt idx="34">
                  <c:v>4072.340719199276</c:v>
                </c:pt>
                <c:pt idx="35">
                  <c:v>4281.17870479924</c:v>
                </c:pt>
                <c:pt idx="36">
                  <c:v>4490.016690399202</c:v>
                </c:pt>
                <c:pt idx="37">
                  <c:v>4698.854675999165</c:v>
                </c:pt>
                <c:pt idx="38">
                  <c:v>4907.692661599126</c:v>
                </c:pt>
                <c:pt idx="39">
                  <c:v>5116.53064719909</c:v>
                </c:pt>
                <c:pt idx="40">
                  <c:v>5325.368632799052</c:v>
                </c:pt>
                <c:pt idx="41">
                  <c:v>5534.206618399015</c:v>
                </c:pt>
                <c:pt idx="42">
                  <c:v>5743.04460399898</c:v>
                </c:pt>
                <c:pt idx="43">
                  <c:v>5951.882589598942</c:v>
                </c:pt>
                <c:pt idx="44">
                  <c:v>6160.720575198905</c:v>
                </c:pt>
                <c:pt idx="45">
                  <c:v>6369.558560798867</c:v>
                </c:pt>
                <c:pt idx="46">
                  <c:v>6578.39654639883</c:v>
                </c:pt>
                <c:pt idx="47">
                  <c:v>6787.234531998793</c:v>
                </c:pt>
                <c:pt idx="48">
                  <c:v>6996.072517598756</c:v>
                </c:pt>
                <c:pt idx="49">
                  <c:v>7204.91050319872</c:v>
                </c:pt>
                <c:pt idx="50">
                  <c:v>7413.748488798682</c:v>
                </c:pt>
                <c:pt idx="51">
                  <c:v>7673.352363790181</c:v>
                </c:pt>
                <c:pt idx="52">
                  <c:v>7932.956238781682</c:v>
                </c:pt>
                <c:pt idx="53">
                  <c:v>8192.560113773183</c:v>
                </c:pt>
                <c:pt idx="54">
                  <c:v>8452.163988764681</c:v>
                </c:pt>
                <c:pt idx="55">
                  <c:v>8711.767863756182</c:v>
                </c:pt>
                <c:pt idx="56">
                  <c:v>8971.371738747683</c:v>
                </c:pt>
                <c:pt idx="57">
                  <c:v>9230.975613739181</c:v>
                </c:pt>
                <c:pt idx="58">
                  <c:v>9490.57948873068</c:v>
                </c:pt>
                <c:pt idx="59">
                  <c:v>9750.183363722182</c:v>
                </c:pt>
                <c:pt idx="60">
                  <c:v>10009.78723871368</c:v>
                </c:pt>
                <c:pt idx="61">
                  <c:v>10269.39111370518</c:v>
                </c:pt>
                <c:pt idx="62">
                  <c:v>10528.99498869668</c:v>
                </c:pt>
                <c:pt idx="63">
                  <c:v>10788.59886368818</c:v>
                </c:pt>
                <c:pt idx="64">
                  <c:v>11048.20273867968</c:v>
                </c:pt>
                <c:pt idx="65">
                  <c:v>11307.80661367118</c:v>
                </c:pt>
                <c:pt idx="66">
                  <c:v>11567.41048866268</c:v>
                </c:pt>
                <c:pt idx="67">
                  <c:v>11827.01436365418</c:v>
                </c:pt>
                <c:pt idx="68">
                  <c:v>12086.61823864568</c:v>
                </c:pt>
                <c:pt idx="69">
                  <c:v>12346.22211363718</c:v>
                </c:pt>
                <c:pt idx="70">
                  <c:v>12605.82598862868</c:v>
                </c:pt>
                <c:pt idx="71">
                  <c:v>12865.42986362018</c:v>
                </c:pt>
                <c:pt idx="72">
                  <c:v>13125.03373861168</c:v>
                </c:pt>
                <c:pt idx="73">
                  <c:v>13384.63761360318</c:v>
                </c:pt>
                <c:pt idx="74">
                  <c:v>13644.24148859468</c:v>
                </c:pt>
                <c:pt idx="75">
                  <c:v>13903.84536358618</c:v>
                </c:pt>
                <c:pt idx="76">
                  <c:v>14163.44923857768</c:v>
                </c:pt>
                <c:pt idx="77">
                  <c:v>14423.05311356918</c:v>
                </c:pt>
                <c:pt idx="78">
                  <c:v>14682.65698856068</c:v>
                </c:pt>
                <c:pt idx="79">
                  <c:v>14942.26086355218</c:v>
                </c:pt>
                <c:pt idx="80">
                  <c:v>15201.86473854368</c:v>
                </c:pt>
                <c:pt idx="81">
                  <c:v>16144.22369419498</c:v>
                </c:pt>
                <c:pt idx="82">
                  <c:v>17086.58264984628</c:v>
                </c:pt>
                <c:pt idx="83">
                  <c:v>18028.94160549758</c:v>
                </c:pt>
                <c:pt idx="84">
                  <c:v>18971.30056114888</c:v>
                </c:pt>
                <c:pt idx="85">
                  <c:v>19913.65951680019</c:v>
                </c:pt>
                <c:pt idx="86">
                  <c:v>20856.01847245149</c:v>
                </c:pt>
                <c:pt idx="87">
                  <c:v>21798.37742810279</c:v>
                </c:pt>
                <c:pt idx="88">
                  <c:v>22740.7363837541</c:v>
                </c:pt>
                <c:pt idx="89">
                  <c:v>23683.09533940539</c:v>
                </c:pt>
                <c:pt idx="90">
                  <c:v>24625.4542950567</c:v>
                </c:pt>
                <c:pt idx="91">
                  <c:v>25567.81325070799</c:v>
                </c:pt>
                <c:pt idx="92">
                  <c:v>26510.17220635929</c:v>
                </c:pt>
                <c:pt idx="93">
                  <c:v>27452.53116201059</c:v>
                </c:pt>
                <c:pt idx="94">
                  <c:v>28394.8901176619</c:v>
                </c:pt>
                <c:pt idx="95">
                  <c:v>28866.06959548754</c:v>
                </c:pt>
                <c:pt idx="96">
                  <c:v>28866.06959548754</c:v>
                </c:pt>
                <c:pt idx="97">
                  <c:v>28866.06959548754</c:v>
                </c:pt>
                <c:pt idx="98">
                  <c:v>28866.06959548754</c:v>
                </c:pt>
                <c:pt idx="99">
                  <c:v>28866.06959548754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1178.925965619884</c:v>
                </c:pt>
                <c:pt idx="1">
                  <c:v>1178.925965619884</c:v>
                </c:pt>
                <c:pt idx="2">
                  <c:v>1178.925965619884</c:v>
                </c:pt>
                <c:pt idx="3">
                  <c:v>1178.925965619884</c:v>
                </c:pt>
                <c:pt idx="4">
                  <c:v>1178.925965619884</c:v>
                </c:pt>
                <c:pt idx="5">
                  <c:v>1178.925965619884</c:v>
                </c:pt>
                <c:pt idx="6">
                  <c:v>1178.925965619884</c:v>
                </c:pt>
                <c:pt idx="7">
                  <c:v>1178.925965619884</c:v>
                </c:pt>
                <c:pt idx="8">
                  <c:v>1178.925965619884</c:v>
                </c:pt>
                <c:pt idx="9">
                  <c:v>1178.925965619884</c:v>
                </c:pt>
                <c:pt idx="10">
                  <c:v>1178.925965619884</c:v>
                </c:pt>
                <c:pt idx="11">
                  <c:v>1178.925965619884</c:v>
                </c:pt>
                <c:pt idx="12">
                  <c:v>1178.925965619884</c:v>
                </c:pt>
                <c:pt idx="13">
                  <c:v>1178.925965619884</c:v>
                </c:pt>
                <c:pt idx="14">
                  <c:v>1178.925965619884</c:v>
                </c:pt>
                <c:pt idx="15">
                  <c:v>1167.464728053226</c:v>
                </c:pt>
                <c:pt idx="16">
                  <c:v>1144.542252919909</c:v>
                </c:pt>
                <c:pt idx="17">
                  <c:v>1121.619777786593</c:v>
                </c:pt>
                <c:pt idx="18">
                  <c:v>1098.697302653276</c:v>
                </c:pt>
                <c:pt idx="19">
                  <c:v>1075.77482751996</c:v>
                </c:pt>
                <c:pt idx="20">
                  <c:v>1052.852352386643</c:v>
                </c:pt>
                <c:pt idx="21">
                  <c:v>1029.929877253327</c:v>
                </c:pt>
                <c:pt idx="22">
                  <c:v>1007.00740212001</c:v>
                </c:pt>
                <c:pt idx="23">
                  <c:v>984.0849269866935</c:v>
                </c:pt>
                <c:pt idx="24">
                  <c:v>961.162451853377</c:v>
                </c:pt>
                <c:pt idx="25">
                  <c:v>938.2399767200604</c:v>
                </c:pt>
                <c:pt idx="26">
                  <c:v>915.3175015867439</c:v>
                </c:pt>
                <c:pt idx="27">
                  <c:v>892.3950264534274</c:v>
                </c:pt>
                <c:pt idx="28">
                  <c:v>869.4725513201108</c:v>
                </c:pt>
                <c:pt idx="29">
                  <c:v>846.5500761867943</c:v>
                </c:pt>
                <c:pt idx="30">
                  <c:v>823.6276010534779</c:v>
                </c:pt>
                <c:pt idx="31">
                  <c:v>800.7051259201613</c:v>
                </c:pt>
                <c:pt idx="32">
                  <c:v>777.7826507868449</c:v>
                </c:pt>
                <c:pt idx="33">
                  <c:v>754.8601756535284</c:v>
                </c:pt>
                <c:pt idx="34">
                  <c:v>731.9377005202118</c:v>
                </c:pt>
                <c:pt idx="35">
                  <c:v>709.0152253868953</c:v>
                </c:pt>
                <c:pt idx="36">
                  <c:v>686.0927502535787</c:v>
                </c:pt>
                <c:pt idx="37">
                  <c:v>663.1702751202622</c:v>
                </c:pt>
                <c:pt idx="38">
                  <c:v>640.2477999869457</c:v>
                </c:pt>
                <c:pt idx="39">
                  <c:v>617.3253248536292</c:v>
                </c:pt>
                <c:pt idx="40">
                  <c:v>594.4028497203127</c:v>
                </c:pt>
                <c:pt idx="41">
                  <c:v>571.480374586996</c:v>
                </c:pt>
                <c:pt idx="42">
                  <c:v>548.5578994536796</c:v>
                </c:pt>
                <c:pt idx="43">
                  <c:v>525.6354243203631</c:v>
                </c:pt>
                <c:pt idx="44">
                  <c:v>502.7129491870466</c:v>
                </c:pt>
                <c:pt idx="45">
                  <c:v>479.79047405373</c:v>
                </c:pt>
                <c:pt idx="46">
                  <c:v>456.8679989204135</c:v>
                </c:pt>
                <c:pt idx="47">
                  <c:v>433.945523787097</c:v>
                </c:pt>
                <c:pt idx="48">
                  <c:v>411.0230486537805</c:v>
                </c:pt>
                <c:pt idx="49">
                  <c:v>388.1005735204638</c:v>
                </c:pt>
                <c:pt idx="50">
                  <c:v>365.1780983871474</c:v>
                </c:pt>
                <c:pt idx="51">
                  <c:v>353.0054951075758</c:v>
                </c:pt>
                <c:pt idx="52">
                  <c:v>340.8328918280042</c:v>
                </c:pt>
                <c:pt idx="53">
                  <c:v>328.6602885484326</c:v>
                </c:pt>
                <c:pt idx="54">
                  <c:v>316.4876852688611</c:v>
                </c:pt>
                <c:pt idx="55">
                  <c:v>304.3150819892895</c:v>
                </c:pt>
                <c:pt idx="56">
                  <c:v>292.142478709718</c:v>
                </c:pt>
                <c:pt idx="57">
                  <c:v>279.9698754301463</c:v>
                </c:pt>
                <c:pt idx="58">
                  <c:v>267.7972721505747</c:v>
                </c:pt>
                <c:pt idx="59">
                  <c:v>255.6246688710032</c:v>
                </c:pt>
                <c:pt idx="60">
                  <c:v>243.4520655914316</c:v>
                </c:pt>
                <c:pt idx="61">
                  <c:v>231.27946231186</c:v>
                </c:pt>
                <c:pt idx="62">
                  <c:v>219.1068590322884</c:v>
                </c:pt>
                <c:pt idx="63">
                  <c:v>206.9342557527168</c:v>
                </c:pt>
                <c:pt idx="64">
                  <c:v>194.7616524731453</c:v>
                </c:pt>
                <c:pt idx="65">
                  <c:v>182.5890491935737</c:v>
                </c:pt>
                <c:pt idx="66">
                  <c:v>170.4164459140021</c:v>
                </c:pt>
                <c:pt idx="67">
                  <c:v>158.2438426344305</c:v>
                </c:pt>
                <c:pt idx="68">
                  <c:v>146.071239354859</c:v>
                </c:pt>
                <c:pt idx="69">
                  <c:v>133.8986360752874</c:v>
                </c:pt>
                <c:pt idx="70">
                  <c:v>121.7260327957158</c:v>
                </c:pt>
                <c:pt idx="71">
                  <c:v>109.5534295161442</c:v>
                </c:pt>
                <c:pt idx="72">
                  <c:v>97.38082623657266</c:v>
                </c:pt>
                <c:pt idx="73">
                  <c:v>85.20822295700105</c:v>
                </c:pt>
                <c:pt idx="74">
                  <c:v>73.03561967742951</c:v>
                </c:pt>
                <c:pt idx="75">
                  <c:v>60.86301639785784</c:v>
                </c:pt>
                <c:pt idx="76">
                  <c:v>48.6904131182863</c:v>
                </c:pt>
                <c:pt idx="77">
                  <c:v>36.51780983871475</c:v>
                </c:pt>
                <c:pt idx="78">
                  <c:v>24.34520655914315</c:v>
                </c:pt>
                <c:pt idx="79">
                  <c:v>12.1726032795716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6054.535783799295</c:v>
                </c:pt>
                <c:pt idx="1">
                  <c:v>6054.535783799295</c:v>
                </c:pt>
                <c:pt idx="2">
                  <c:v>6054.535783799295</c:v>
                </c:pt>
                <c:pt idx="3">
                  <c:v>6054.535783799295</c:v>
                </c:pt>
                <c:pt idx="4">
                  <c:v>6054.535783799295</c:v>
                </c:pt>
                <c:pt idx="5">
                  <c:v>6054.535783799295</c:v>
                </c:pt>
                <c:pt idx="6">
                  <c:v>6054.535783799295</c:v>
                </c:pt>
                <c:pt idx="7">
                  <c:v>6054.535783799295</c:v>
                </c:pt>
                <c:pt idx="8">
                  <c:v>6054.535783799295</c:v>
                </c:pt>
                <c:pt idx="9">
                  <c:v>6054.535783799295</c:v>
                </c:pt>
                <c:pt idx="10">
                  <c:v>6054.535783799295</c:v>
                </c:pt>
                <c:pt idx="11">
                  <c:v>6054.535783799295</c:v>
                </c:pt>
                <c:pt idx="12">
                  <c:v>6054.535783799295</c:v>
                </c:pt>
                <c:pt idx="13">
                  <c:v>6054.535783799295</c:v>
                </c:pt>
                <c:pt idx="14">
                  <c:v>6054.535783799295</c:v>
                </c:pt>
                <c:pt idx="15">
                  <c:v>5969.260631914798</c:v>
                </c:pt>
                <c:pt idx="16">
                  <c:v>5798.710328145804</c:v>
                </c:pt>
                <c:pt idx="17">
                  <c:v>5628.160024376808</c:v>
                </c:pt>
                <c:pt idx="18">
                  <c:v>5457.609720607814</c:v>
                </c:pt>
                <c:pt idx="19">
                  <c:v>5287.059416838821</c:v>
                </c:pt>
                <c:pt idx="20">
                  <c:v>5116.509113069826</c:v>
                </c:pt>
                <c:pt idx="21">
                  <c:v>4945.958809300832</c:v>
                </c:pt>
                <c:pt idx="22">
                  <c:v>4775.408505531838</c:v>
                </c:pt>
                <c:pt idx="23">
                  <c:v>4604.858201762844</c:v>
                </c:pt>
                <c:pt idx="24">
                  <c:v>4434.307897993849</c:v>
                </c:pt>
                <c:pt idx="25">
                  <c:v>4263.757594224855</c:v>
                </c:pt>
                <c:pt idx="26">
                  <c:v>4093.207290455861</c:v>
                </c:pt>
                <c:pt idx="27">
                  <c:v>3922.656986686867</c:v>
                </c:pt>
                <c:pt idx="28">
                  <c:v>3752.106682917873</c:v>
                </c:pt>
                <c:pt idx="29">
                  <c:v>3581.556379148878</c:v>
                </c:pt>
                <c:pt idx="30">
                  <c:v>3411.006075379884</c:v>
                </c:pt>
                <c:pt idx="31">
                  <c:v>3240.45577161089</c:v>
                </c:pt>
                <c:pt idx="32">
                  <c:v>3069.905467841896</c:v>
                </c:pt>
                <c:pt idx="33">
                  <c:v>2899.355164072902</c:v>
                </c:pt>
                <c:pt idx="34">
                  <c:v>2728.804860303908</c:v>
                </c:pt>
                <c:pt idx="35">
                  <c:v>2558.254556534913</c:v>
                </c:pt>
                <c:pt idx="36">
                  <c:v>2387.704252765919</c:v>
                </c:pt>
                <c:pt idx="37">
                  <c:v>2217.153948996925</c:v>
                </c:pt>
                <c:pt idx="38">
                  <c:v>2046.603645227931</c:v>
                </c:pt>
                <c:pt idx="39">
                  <c:v>1876.053341458936</c:v>
                </c:pt>
                <c:pt idx="40">
                  <c:v>1705.503037689942</c:v>
                </c:pt>
                <c:pt idx="41">
                  <c:v>1534.952733920948</c:v>
                </c:pt>
                <c:pt idx="42">
                  <c:v>1364.402430151954</c:v>
                </c:pt>
                <c:pt idx="43">
                  <c:v>1193.85212638296</c:v>
                </c:pt>
                <c:pt idx="44">
                  <c:v>1023.301822613966</c:v>
                </c:pt>
                <c:pt idx="45">
                  <c:v>852.7515188449706</c:v>
                </c:pt>
                <c:pt idx="46">
                  <c:v>682.2012150759774</c:v>
                </c:pt>
                <c:pt idx="47">
                  <c:v>511.6509113069824</c:v>
                </c:pt>
                <c:pt idx="48">
                  <c:v>341.1006075379892</c:v>
                </c:pt>
                <c:pt idx="49">
                  <c:v>170.5503037689941</c:v>
                </c:pt>
                <c:pt idx="50">
                  <c:v>0.0</c:v>
                </c:pt>
                <c:pt idx="51">
                  <c:v>6290.426788362903</c:v>
                </c:pt>
                <c:pt idx="52">
                  <c:v>12580.85357672581</c:v>
                </c:pt>
                <c:pt idx="53">
                  <c:v>18871.28036508871</c:v>
                </c:pt>
                <c:pt idx="54">
                  <c:v>25161.70715345161</c:v>
                </c:pt>
                <c:pt idx="55">
                  <c:v>31452.13394181451</c:v>
                </c:pt>
                <c:pt idx="56">
                  <c:v>37742.56073017741</c:v>
                </c:pt>
                <c:pt idx="57">
                  <c:v>44032.98751854032</c:v>
                </c:pt>
                <c:pt idx="58">
                  <c:v>50323.41430690322</c:v>
                </c:pt>
                <c:pt idx="59">
                  <c:v>56613.84109526612</c:v>
                </c:pt>
                <c:pt idx="60">
                  <c:v>62904.26788362903</c:v>
                </c:pt>
                <c:pt idx="61">
                  <c:v>69194.69467199192</c:v>
                </c:pt>
                <c:pt idx="62">
                  <c:v>75485.1214603548</c:v>
                </c:pt>
                <c:pt idx="63">
                  <c:v>81775.54824871774</c:v>
                </c:pt>
                <c:pt idx="64">
                  <c:v>88065.97503708064</c:v>
                </c:pt>
                <c:pt idx="65">
                  <c:v>94356.40182544354</c:v>
                </c:pt>
                <c:pt idx="66">
                  <c:v>100646.8286138064</c:v>
                </c:pt>
                <c:pt idx="67">
                  <c:v>106937.2554021694</c:v>
                </c:pt>
                <c:pt idx="68">
                  <c:v>113227.6821905322</c:v>
                </c:pt>
                <c:pt idx="69">
                  <c:v>119518.1089788952</c:v>
                </c:pt>
                <c:pt idx="70">
                  <c:v>125808.5357672581</c:v>
                </c:pt>
                <c:pt idx="71">
                  <c:v>132098.9625556209</c:v>
                </c:pt>
                <c:pt idx="72">
                  <c:v>138389.3893439838</c:v>
                </c:pt>
                <c:pt idx="73">
                  <c:v>144679.8161323468</c:v>
                </c:pt>
                <c:pt idx="74">
                  <c:v>150970.2429207096</c:v>
                </c:pt>
                <c:pt idx="75">
                  <c:v>157260.6697090726</c:v>
                </c:pt>
                <c:pt idx="76">
                  <c:v>163551.0964974355</c:v>
                </c:pt>
                <c:pt idx="77">
                  <c:v>169841.5232857984</c:v>
                </c:pt>
                <c:pt idx="78">
                  <c:v>176131.9500741613</c:v>
                </c:pt>
                <c:pt idx="79">
                  <c:v>182422.3768625242</c:v>
                </c:pt>
                <c:pt idx="80">
                  <c:v>188712.8036508871</c:v>
                </c:pt>
                <c:pt idx="81">
                  <c:v>199992.1896162275</c:v>
                </c:pt>
                <c:pt idx="82">
                  <c:v>211271.5755815678</c:v>
                </c:pt>
                <c:pt idx="83">
                  <c:v>222550.9615469082</c:v>
                </c:pt>
                <c:pt idx="84">
                  <c:v>233830.3475122486</c:v>
                </c:pt>
                <c:pt idx="85">
                  <c:v>245109.733477589</c:v>
                </c:pt>
                <c:pt idx="86">
                  <c:v>256389.1194429293</c:v>
                </c:pt>
                <c:pt idx="87">
                  <c:v>267668.5054082697</c:v>
                </c:pt>
                <c:pt idx="88">
                  <c:v>278947.8913736101</c:v>
                </c:pt>
                <c:pt idx="89">
                  <c:v>290227.2773389505</c:v>
                </c:pt>
                <c:pt idx="90">
                  <c:v>301506.6633042909</c:v>
                </c:pt>
                <c:pt idx="91">
                  <c:v>312786.0492696313</c:v>
                </c:pt>
                <c:pt idx="92">
                  <c:v>324065.4352349716</c:v>
                </c:pt>
                <c:pt idx="93">
                  <c:v>335344.821200312</c:v>
                </c:pt>
                <c:pt idx="94">
                  <c:v>346624.2071656524</c:v>
                </c:pt>
                <c:pt idx="95">
                  <c:v>352263.9001483225</c:v>
                </c:pt>
                <c:pt idx="96">
                  <c:v>352263.9001483225</c:v>
                </c:pt>
                <c:pt idx="97">
                  <c:v>352263.9001483225</c:v>
                </c:pt>
                <c:pt idx="98">
                  <c:v>352263.9001483225</c:v>
                </c:pt>
                <c:pt idx="99">
                  <c:v>352263.9001483225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5871.065002472043</c:v>
                </c:pt>
                <c:pt idx="1">
                  <c:v>5871.065002472043</c:v>
                </c:pt>
                <c:pt idx="2">
                  <c:v>5871.065002472043</c:v>
                </c:pt>
                <c:pt idx="3">
                  <c:v>5871.065002472043</c:v>
                </c:pt>
                <c:pt idx="4">
                  <c:v>5871.065002472043</c:v>
                </c:pt>
                <c:pt idx="5">
                  <c:v>5871.065002472043</c:v>
                </c:pt>
                <c:pt idx="6">
                  <c:v>5871.065002472043</c:v>
                </c:pt>
                <c:pt idx="7">
                  <c:v>5871.065002472043</c:v>
                </c:pt>
                <c:pt idx="8">
                  <c:v>5871.065002472043</c:v>
                </c:pt>
                <c:pt idx="9">
                  <c:v>5871.065002472043</c:v>
                </c:pt>
                <c:pt idx="10">
                  <c:v>5871.065002472043</c:v>
                </c:pt>
                <c:pt idx="11">
                  <c:v>5871.065002472043</c:v>
                </c:pt>
                <c:pt idx="12">
                  <c:v>5871.065002472043</c:v>
                </c:pt>
                <c:pt idx="13">
                  <c:v>5871.065002472043</c:v>
                </c:pt>
                <c:pt idx="14">
                  <c:v>5871.065002472043</c:v>
                </c:pt>
                <c:pt idx="15">
                  <c:v>5788.373946099197</c:v>
                </c:pt>
                <c:pt idx="16">
                  <c:v>5622.991833353506</c:v>
                </c:pt>
                <c:pt idx="17">
                  <c:v>5457.609720607814</c:v>
                </c:pt>
                <c:pt idx="18">
                  <c:v>5292.227607862123</c:v>
                </c:pt>
                <c:pt idx="19">
                  <c:v>5126.845495116432</c:v>
                </c:pt>
                <c:pt idx="20">
                  <c:v>4961.463382370741</c:v>
                </c:pt>
                <c:pt idx="21">
                  <c:v>4796.08126962505</c:v>
                </c:pt>
                <c:pt idx="22">
                  <c:v>4630.699156879358</c:v>
                </c:pt>
                <c:pt idx="23">
                  <c:v>4465.317044133666</c:v>
                </c:pt>
                <c:pt idx="24">
                  <c:v>4299.934931387976</c:v>
                </c:pt>
                <c:pt idx="25">
                  <c:v>4134.552818642283</c:v>
                </c:pt>
                <c:pt idx="26">
                  <c:v>3969.170705896592</c:v>
                </c:pt>
                <c:pt idx="27">
                  <c:v>3803.788593150901</c:v>
                </c:pt>
                <c:pt idx="28">
                  <c:v>3638.40648040521</c:v>
                </c:pt>
                <c:pt idx="29">
                  <c:v>3473.024367659518</c:v>
                </c:pt>
                <c:pt idx="30">
                  <c:v>3307.642254913827</c:v>
                </c:pt>
                <c:pt idx="31">
                  <c:v>3142.260142168136</c:v>
                </c:pt>
                <c:pt idx="32">
                  <c:v>2976.878029422445</c:v>
                </c:pt>
                <c:pt idx="33">
                  <c:v>2811.495916676753</c:v>
                </c:pt>
                <c:pt idx="34">
                  <c:v>2646.113803931062</c:v>
                </c:pt>
                <c:pt idx="35">
                  <c:v>2480.73169118537</c:v>
                </c:pt>
                <c:pt idx="36">
                  <c:v>2315.34957843968</c:v>
                </c:pt>
                <c:pt idx="37">
                  <c:v>2149.967465693988</c:v>
                </c:pt>
                <c:pt idx="38">
                  <c:v>1984.585352948297</c:v>
                </c:pt>
                <c:pt idx="39">
                  <c:v>1819.203240202605</c:v>
                </c:pt>
                <c:pt idx="40">
                  <c:v>1653.821127456913</c:v>
                </c:pt>
                <c:pt idx="41">
                  <c:v>1488.439014711223</c:v>
                </c:pt>
                <c:pt idx="42">
                  <c:v>1323.05690196553</c:v>
                </c:pt>
                <c:pt idx="43">
                  <c:v>1157.674789219839</c:v>
                </c:pt>
                <c:pt idx="44">
                  <c:v>992.2926764741487</c:v>
                </c:pt>
                <c:pt idx="45">
                  <c:v>826.9105637284565</c:v>
                </c:pt>
                <c:pt idx="46">
                  <c:v>661.5284509827652</c:v>
                </c:pt>
                <c:pt idx="47">
                  <c:v>496.1463382370748</c:v>
                </c:pt>
                <c:pt idx="48">
                  <c:v>330.7642254913826</c:v>
                </c:pt>
                <c:pt idx="49">
                  <c:v>165.3821127456913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4049.010346532443</c:v>
                </c:pt>
                <c:pt idx="82">
                  <c:v>8098.020693064886</c:v>
                </c:pt>
                <c:pt idx="83">
                  <c:v>12147.03103959733</c:v>
                </c:pt>
                <c:pt idx="84">
                  <c:v>16196.04138612977</c:v>
                </c:pt>
                <c:pt idx="85">
                  <c:v>20245.05173266221</c:v>
                </c:pt>
                <c:pt idx="86">
                  <c:v>24294.06207919466</c:v>
                </c:pt>
                <c:pt idx="87">
                  <c:v>28343.0724257271</c:v>
                </c:pt>
                <c:pt idx="88">
                  <c:v>32392.08277225955</c:v>
                </c:pt>
                <c:pt idx="89">
                  <c:v>36441.09311879199</c:v>
                </c:pt>
                <c:pt idx="90">
                  <c:v>40490.10346532443</c:v>
                </c:pt>
                <c:pt idx="91">
                  <c:v>44539.11381185687</c:v>
                </c:pt>
                <c:pt idx="92">
                  <c:v>48588.12415838932</c:v>
                </c:pt>
                <c:pt idx="93">
                  <c:v>52637.13450492176</c:v>
                </c:pt>
                <c:pt idx="94">
                  <c:v>56686.1448514542</c:v>
                </c:pt>
                <c:pt idx="95">
                  <c:v>58710.65002472042</c:v>
                </c:pt>
                <c:pt idx="96">
                  <c:v>58710.65002472042</c:v>
                </c:pt>
                <c:pt idx="97">
                  <c:v>58710.65002472042</c:v>
                </c:pt>
                <c:pt idx="98">
                  <c:v>58710.65002472042</c:v>
                </c:pt>
                <c:pt idx="99">
                  <c:v>58710.65002472042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24218.14313519718</c:v>
                </c:pt>
                <c:pt idx="1">
                  <c:v>24218.14313519718</c:v>
                </c:pt>
                <c:pt idx="2">
                  <c:v>24218.14313519718</c:v>
                </c:pt>
                <c:pt idx="3">
                  <c:v>24218.14313519718</c:v>
                </c:pt>
                <c:pt idx="4">
                  <c:v>24218.14313519718</c:v>
                </c:pt>
                <c:pt idx="5">
                  <c:v>24218.14313519718</c:v>
                </c:pt>
                <c:pt idx="6">
                  <c:v>24218.14313519718</c:v>
                </c:pt>
                <c:pt idx="7">
                  <c:v>24218.14313519718</c:v>
                </c:pt>
                <c:pt idx="8">
                  <c:v>24218.14313519718</c:v>
                </c:pt>
                <c:pt idx="9">
                  <c:v>24218.14313519718</c:v>
                </c:pt>
                <c:pt idx="10">
                  <c:v>24218.14313519718</c:v>
                </c:pt>
                <c:pt idx="11">
                  <c:v>24218.14313519718</c:v>
                </c:pt>
                <c:pt idx="12">
                  <c:v>24218.14313519718</c:v>
                </c:pt>
                <c:pt idx="13">
                  <c:v>24218.14313519718</c:v>
                </c:pt>
                <c:pt idx="14">
                  <c:v>24218.14313519718</c:v>
                </c:pt>
                <c:pt idx="15">
                  <c:v>24579.91650682838</c:v>
                </c:pt>
                <c:pt idx="16">
                  <c:v>25303.46325009078</c:v>
                </c:pt>
                <c:pt idx="17">
                  <c:v>26027.00999335318</c:v>
                </c:pt>
                <c:pt idx="18">
                  <c:v>26750.55673661558</c:v>
                </c:pt>
                <c:pt idx="19">
                  <c:v>27474.10347987798</c:v>
                </c:pt>
                <c:pt idx="20">
                  <c:v>28197.65022314038</c:v>
                </c:pt>
                <c:pt idx="21">
                  <c:v>28921.19696640278</c:v>
                </c:pt>
                <c:pt idx="22">
                  <c:v>29644.74370966518</c:v>
                </c:pt>
                <c:pt idx="23">
                  <c:v>30368.29045292758</c:v>
                </c:pt>
                <c:pt idx="24">
                  <c:v>31091.83719618998</c:v>
                </c:pt>
                <c:pt idx="25">
                  <c:v>31815.38393945238</c:v>
                </c:pt>
                <c:pt idx="26">
                  <c:v>32538.93068271478</c:v>
                </c:pt>
                <c:pt idx="27">
                  <c:v>33262.47742597718</c:v>
                </c:pt>
                <c:pt idx="28">
                  <c:v>33986.02416923958</c:v>
                </c:pt>
                <c:pt idx="29">
                  <c:v>34709.57091250198</c:v>
                </c:pt>
                <c:pt idx="30">
                  <c:v>35433.11765576438</c:v>
                </c:pt>
                <c:pt idx="31">
                  <c:v>36156.66439902677</c:v>
                </c:pt>
                <c:pt idx="32">
                  <c:v>36880.21114228918</c:v>
                </c:pt>
                <c:pt idx="33">
                  <c:v>37603.75788555157</c:v>
                </c:pt>
                <c:pt idx="34">
                  <c:v>38327.30462881397</c:v>
                </c:pt>
                <c:pt idx="35">
                  <c:v>39050.85137207637</c:v>
                </c:pt>
                <c:pt idx="36">
                  <c:v>39774.39811533877</c:v>
                </c:pt>
                <c:pt idx="37">
                  <c:v>40497.94485860117</c:v>
                </c:pt>
                <c:pt idx="38">
                  <c:v>41221.49160186357</c:v>
                </c:pt>
                <c:pt idx="39">
                  <c:v>41945.03834512597</c:v>
                </c:pt>
                <c:pt idx="40">
                  <c:v>42668.58508838837</c:v>
                </c:pt>
                <c:pt idx="41">
                  <c:v>43392.13183165077</c:v>
                </c:pt>
                <c:pt idx="42">
                  <c:v>44115.67857491317</c:v>
                </c:pt>
                <c:pt idx="43">
                  <c:v>44839.22531817557</c:v>
                </c:pt>
                <c:pt idx="44">
                  <c:v>45562.77206143797</c:v>
                </c:pt>
                <c:pt idx="45">
                  <c:v>46286.31880470036</c:v>
                </c:pt>
                <c:pt idx="46">
                  <c:v>47009.86554796276</c:v>
                </c:pt>
                <c:pt idx="47">
                  <c:v>47733.41229122516</c:v>
                </c:pt>
                <c:pt idx="48">
                  <c:v>48456.95903448756</c:v>
                </c:pt>
                <c:pt idx="49">
                  <c:v>49180.50577774997</c:v>
                </c:pt>
                <c:pt idx="50">
                  <c:v>49904.05252101237</c:v>
                </c:pt>
                <c:pt idx="51">
                  <c:v>48729.83952051795</c:v>
                </c:pt>
                <c:pt idx="52">
                  <c:v>47555.62652002355</c:v>
                </c:pt>
                <c:pt idx="53">
                  <c:v>46381.41351952913</c:v>
                </c:pt>
                <c:pt idx="54">
                  <c:v>45207.20051903473</c:v>
                </c:pt>
                <c:pt idx="55">
                  <c:v>44032.98751854032</c:v>
                </c:pt>
                <c:pt idx="56">
                  <c:v>42858.77451804591</c:v>
                </c:pt>
                <c:pt idx="57">
                  <c:v>41684.5615175515</c:v>
                </c:pt>
                <c:pt idx="58">
                  <c:v>40510.3485170571</c:v>
                </c:pt>
                <c:pt idx="59">
                  <c:v>39336.13551656269</c:v>
                </c:pt>
                <c:pt idx="60">
                  <c:v>38161.92251606828</c:v>
                </c:pt>
                <c:pt idx="61">
                  <c:v>36987.70951557387</c:v>
                </c:pt>
                <c:pt idx="62">
                  <c:v>35813.49651507945</c:v>
                </c:pt>
                <c:pt idx="63">
                  <c:v>34639.28351458505</c:v>
                </c:pt>
                <c:pt idx="64">
                  <c:v>33465.07051409065</c:v>
                </c:pt>
                <c:pt idx="65">
                  <c:v>32290.85751359624</c:v>
                </c:pt>
                <c:pt idx="66">
                  <c:v>31116.64451310183</c:v>
                </c:pt>
                <c:pt idx="67">
                  <c:v>29942.43151260742</c:v>
                </c:pt>
                <c:pt idx="68">
                  <c:v>28768.21851211301</c:v>
                </c:pt>
                <c:pt idx="69">
                  <c:v>27594.0055116186</c:v>
                </c:pt>
                <c:pt idx="70">
                  <c:v>26419.7925111242</c:v>
                </c:pt>
                <c:pt idx="71">
                  <c:v>25245.57951062979</c:v>
                </c:pt>
                <c:pt idx="72">
                  <c:v>24071.36651013538</c:v>
                </c:pt>
                <c:pt idx="73">
                  <c:v>22897.15350964097</c:v>
                </c:pt>
                <c:pt idx="74">
                  <c:v>21722.94050914656</c:v>
                </c:pt>
                <c:pt idx="75">
                  <c:v>20548.72750865215</c:v>
                </c:pt>
                <c:pt idx="76">
                  <c:v>19374.51450815774</c:v>
                </c:pt>
                <c:pt idx="77">
                  <c:v>18200.30150766333</c:v>
                </c:pt>
                <c:pt idx="78">
                  <c:v>17026.08850716893</c:v>
                </c:pt>
                <c:pt idx="79">
                  <c:v>15851.87550667452</c:v>
                </c:pt>
                <c:pt idx="80">
                  <c:v>14677.66250618011</c:v>
                </c:pt>
                <c:pt idx="81">
                  <c:v>15082.56354083335</c:v>
                </c:pt>
                <c:pt idx="82">
                  <c:v>15487.46457548659</c:v>
                </c:pt>
                <c:pt idx="83">
                  <c:v>15892.36561013984</c:v>
                </c:pt>
                <c:pt idx="84">
                  <c:v>16297.26664479308</c:v>
                </c:pt>
                <c:pt idx="85">
                  <c:v>16702.16767944633</c:v>
                </c:pt>
                <c:pt idx="86">
                  <c:v>17107.06871409957</c:v>
                </c:pt>
                <c:pt idx="87">
                  <c:v>17511.96974875282</c:v>
                </c:pt>
                <c:pt idx="88">
                  <c:v>17916.87078340606</c:v>
                </c:pt>
                <c:pt idx="89">
                  <c:v>18321.7718180593</c:v>
                </c:pt>
                <c:pt idx="90">
                  <c:v>18726.67285271255</c:v>
                </c:pt>
                <c:pt idx="91">
                  <c:v>19131.57388736579</c:v>
                </c:pt>
                <c:pt idx="92">
                  <c:v>19536.47492201904</c:v>
                </c:pt>
                <c:pt idx="93">
                  <c:v>19941.37595667228</c:v>
                </c:pt>
                <c:pt idx="94">
                  <c:v>20346.27699132553</c:v>
                </c:pt>
                <c:pt idx="95">
                  <c:v>20548.72750865215</c:v>
                </c:pt>
                <c:pt idx="96">
                  <c:v>20548.72750865215</c:v>
                </c:pt>
                <c:pt idx="97">
                  <c:v>20548.72750865215</c:v>
                </c:pt>
                <c:pt idx="98">
                  <c:v>20548.72750865215</c:v>
                </c:pt>
                <c:pt idx="99">
                  <c:v>20548.72750865215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5743.606515712034</c:v>
                </c:pt>
                <c:pt idx="1">
                  <c:v>5743.606515712034</c:v>
                </c:pt>
                <c:pt idx="2">
                  <c:v>5743.606515712034</c:v>
                </c:pt>
                <c:pt idx="3">
                  <c:v>5743.606515712034</c:v>
                </c:pt>
                <c:pt idx="4">
                  <c:v>5743.606515712034</c:v>
                </c:pt>
                <c:pt idx="5">
                  <c:v>5743.606515712034</c:v>
                </c:pt>
                <c:pt idx="6">
                  <c:v>5743.606515712034</c:v>
                </c:pt>
                <c:pt idx="7">
                  <c:v>5743.606515712034</c:v>
                </c:pt>
                <c:pt idx="8">
                  <c:v>5743.606515712034</c:v>
                </c:pt>
                <c:pt idx="9">
                  <c:v>5743.606515712034</c:v>
                </c:pt>
                <c:pt idx="10">
                  <c:v>5743.606515712034</c:v>
                </c:pt>
                <c:pt idx="11">
                  <c:v>5743.606515712034</c:v>
                </c:pt>
                <c:pt idx="12">
                  <c:v>5743.606515712034</c:v>
                </c:pt>
                <c:pt idx="13">
                  <c:v>5743.606515712034</c:v>
                </c:pt>
                <c:pt idx="14">
                  <c:v>5743.606515712034</c:v>
                </c:pt>
                <c:pt idx="15">
                  <c:v>5747.539555988046</c:v>
                </c:pt>
                <c:pt idx="16">
                  <c:v>5755.405636540071</c:v>
                </c:pt>
                <c:pt idx="17">
                  <c:v>5763.271717092096</c:v>
                </c:pt>
                <c:pt idx="18">
                  <c:v>5771.137797644121</c:v>
                </c:pt>
                <c:pt idx="19">
                  <c:v>5779.003878196146</c:v>
                </c:pt>
                <c:pt idx="20">
                  <c:v>5786.869958748171</c:v>
                </c:pt>
                <c:pt idx="21">
                  <c:v>5794.736039300195</c:v>
                </c:pt>
                <c:pt idx="22">
                  <c:v>5802.60211985222</c:v>
                </c:pt>
                <c:pt idx="23">
                  <c:v>5810.468200404245</c:v>
                </c:pt>
                <c:pt idx="24">
                  <c:v>5818.33428095627</c:v>
                </c:pt>
                <c:pt idx="25">
                  <c:v>5826.200361508295</c:v>
                </c:pt>
                <c:pt idx="26">
                  <c:v>5834.06644206032</c:v>
                </c:pt>
                <c:pt idx="27">
                  <c:v>5841.932522612345</c:v>
                </c:pt>
                <c:pt idx="28">
                  <c:v>5849.79860316437</c:v>
                </c:pt>
                <c:pt idx="29">
                  <c:v>5857.664683716394</c:v>
                </c:pt>
                <c:pt idx="30">
                  <c:v>5865.53076426842</c:v>
                </c:pt>
                <c:pt idx="31">
                  <c:v>5873.396844820444</c:v>
                </c:pt>
                <c:pt idx="32">
                  <c:v>5881.26292537247</c:v>
                </c:pt>
                <c:pt idx="33">
                  <c:v>5889.129005924495</c:v>
                </c:pt>
                <c:pt idx="34">
                  <c:v>5896.99508647652</c:v>
                </c:pt>
                <c:pt idx="35">
                  <c:v>5904.861167028544</c:v>
                </c:pt>
                <c:pt idx="36">
                  <c:v>5912.72724758057</c:v>
                </c:pt>
                <c:pt idx="37">
                  <c:v>5920.593328132594</c:v>
                </c:pt>
                <c:pt idx="38">
                  <c:v>5928.45940868462</c:v>
                </c:pt>
                <c:pt idx="39">
                  <c:v>5936.325489236644</c:v>
                </c:pt>
                <c:pt idx="40">
                  <c:v>5944.191569788668</c:v>
                </c:pt>
                <c:pt idx="41">
                  <c:v>5952.057650340694</c:v>
                </c:pt>
                <c:pt idx="42">
                  <c:v>5959.923730892719</c:v>
                </c:pt>
                <c:pt idx="43">
                  <c:v>5967.789811444743</c:v>
                </c:pt>
                <c:pt idx="44">
                  <c:v>5975.655891996768</c:v>
                </c:pt>
                <c:pt idx="45">
                  <c:v>5983.521972548793</c:v>
                </c:pt>
                <c:pt idx="46">
                  <c:v>5991.388053100818</c:v>
                </c:pt>
                <c:pt idx="47">
                  <c:v>5999.254133652842</c:v>
                </c:pt>
                <c:pt idx="48">
                  <c:v>6007.120214204867</c:v>
                </c:pt>
                <c:pt idx="49">
                  <c:v>6014.986294756892</c:v>
                </c:pt>
                <c:pt idx="50">
                  <c:v>6022.852375308917</c:v>
                </c:pt>
                <c:pt idx="51">
                  <c:v>5983.158415036539</c:v>
                </c:pt>
                <c:pt idx="52">
                  <c:v>5943.46445476416</c:v>
                </c:pt>
                <c:pt idx="53">
                  <c:v>5903.77049449178</c:v>
                </c:pt>
                <c:pt idx="54">
                  <c:v>5864.076534219401</c:v>
                </c:pt>
                <c:pt idx="55">
                  <c:v>5824.382573947023</c:v>
                </c:pt>
                <c:pt idx="56">
                  <c:v>5784.688613674644</c:v>
                </c:pt>
                <c:pt idx="57">
                  <c:v>5744.994653402266</c:v>
                </c:pt>
                <c:pt idx="58">
                  <c:v>5705.300693129886</c:v>
                </c:pt>
                <c:pt idx="59">
                  <c:v>5665.606732857507</c:v>
                </c:pt>
                <c:pt idx="60">
                  <c:v>5625.912772585128</c:v>
                </c:pt>
                <c:pt idx="61">
                  <c:v>5586.21881231275</c:v>
                </c:pt>
                <c:pt idx="62">
                  <c:v>5546.524852040371</c:v>
                </c:pt>
                <c:pt idx="63">
                  <c:v>5506.830891767991</c:v>
                </c:pt>
                <c:pt idx="64">
                  <c:v>5467.136931495612</c:v>
                </c:pt>
                <c:pt idx="65">
                  <c:v>5427.442971223234</c:v>
                </c:pt>
                <c:pt idx="66">
                  <c:v>5387.749010950855</c:v>
                </c:pt>
                <c:pt idx="67">
                  <c:v>5348.055050678476</c:v>
                </c:pt>
                <c:pt idx="68">
                  <c:v>5308.361090406096</c:v>
                </c:pt>
                <c:pt idx="69">
                  <c:v>5268.667130133718</c:v>
                </c:pt>
                <c:pt idx="70">
                  <c:v>5228.97316986134</c:v>
                </c:pt>
                <c:pt idx="71">
                  <c:v>5189.27920958896</c:v>
                </c:pt>
                <c:pt idx="72">
                  <c:v>5149.585249316582</c:v>
                </c:pt>
                <c:pt idx="73">
                  <c:v>5109.891289044202</c:v>
                </c:pt>
                <c:pt idx="74">
                  <c:v>5070.197328771823</c:v>
                </c:pt>
                <c:pt idx="75">
                  <c:v>5030.503368499445</c:v>
                </c:pt>
                <c:pt idx="76">
                  <c:v>4990.809408227066</c:v>
                </c:pt>
                <c:pt idx="77">
                  <c:v>4951.115447954687</c:v>
                </c:pt>
                <c:pt idx="78">
                  <c:v>4911.421487682308</c:v>
                </c:pt>
                <c:pt idx="79">
                  <c:v>4871.72752740993</c:v>
                </c:pt>
                <c:pt idx="80">
                  <c:v>4832.033567137551</c:v>
                </c:pt>
                <c:pt idx="81">
                  <c:v>4602.574205327047</c:v>
                </c:pt>
                <c:pt idx="82">
                  <c:v>4373.114843516544</c:v>
                </c:pt>
                <c:pt idx="83">
                  <c:v>4143.65548170604</c:v>
                </c:pt>
                <c:pt idx="84">
                  <c:v>3914.196119895537</c:v>
                </c:pt>
                <c:pt idx="85">
                  <c:v>3684.736758085034</c:v>
                </c:pt>
                <c:pt idx="86">
                  <c:v>3455.27739627453</c:v>
                </c:pt>
                <c:pt idx="87">
                  <c:v>3225.818034464027</c:v>
                </c:pt>
                <c:pt idx="88">
                  <c:v>2996.358672653523</c:v>
                </c:pt>
                <c:pt idx="89">
                  <c:v>2766.89931084302</c:v>
                </c:pt>
                <c:pt idx="90">
                  <c:v>2537.439949032517</c:v>
                </c:pt>
                <c:pt idx="91">
                  <c:v>2307.980587222013</c:v>
                </c:pt>
                <c:pt idx="92">
                  <c:v>2078.52122541151</c:v>
                </c:pt>
                <c:pt idx="93">
                  <c:v>1849.061863601007</c:v>
                </c:pt>
                <c:pt idx="94">
                  <c:v>1619.602501790504</c:v>
                </c:pt>
                <c:pt idx="95">
                  <c:v>1504.872820885252</c:v>
                </c:pt>
                <c:pt idx="96">
                  <c:v>1504.872820885252</c:v>
                </c:pt>
                <c:pt idx="97">
                  <c:v>1504.872820885252</c:v>
                </c:pt>
                <c:pt idx="98">
                  <c:v>1504.872820885252</c:v>
                </c:pt>
                <c:pt idx="99">
                  <c:v>1504.872820885252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11008.24687963508</c:v>
                </c:pt>
                <c:pt idx="1">
                  <c:v>11008.24687963508</c:v>
                </c:pt>
                <c:pt idx="2">
                  <c:v>11008.24687963508</c:v>
                </c:pt>
                <c:pt idx="3">
                  <c:v>11008.24687963508</c:v>
                </c:pt>
                <c:pt idx="4">
                  <c:v>11008.24687963508</c:v>
                </c:pt>
                <c:pt idx="5">
                  <c:v>11008.24687963508</c:v>
                </c:pt>
                <c:pt idx="6">
                  <c:v>11008.24687963508</c:v>
                </c:pt>
                <c:pt idx="7">
                  <c:v>11008.24687963508</c:v>
                </c:pt>
                <c:pt idx="8">
                  <c:v>11008.24687963508</c:v>
                </c:pt>
                <c:pt idx="9">
                  <c:v>11008.24687963508</c:v>
                </c:pt>
                <c:pt idx="10">
                  <c:v>11008.24687963508</c:v>
                </c:pt>
                <c:pt idx="11">
                  <c:v>11008.24687963508</c:v>
                </c:pt>
                <c:pt idx="12">
                  <c:v>11008.24687963508</c:v>
                </c:pt>
                <c:pt idx="13">
                  <c:v>11008.24687963508</c:v>
                </c:pt>
                <c:pt idx="14">
                  <c:v>11008.24687963508</c:v>
                </c:pt>
                <c:pt idx="15">
                  <c:v>10853.201148936</c:v>
                </c:pt>
                <c:pt idx="16">
                  <c:v>10543.10968753782</c:v>
                </c:pt>
                <c:pt idx="17">
                  <c:v>10233.01822613965</c:v>
                </c:pt>
                <c:pt idx="18">
                  <c:v>9922.926764741481</c:v>
                </c:pt>
                <c:pt idx="19">
                  <c:v>9612.83530334331</c:v>
                </c:pt>
                <c:pt idx="20">
                  <c:v>9302.74384194514</c:v>
                </c:pt>
                <c:pt idx="21">
                  <c:v>8992.652380546967</c:v>
                </c:pt>
                <c:pt idx="22">
                  <c:v>8682.560919148797</c:v>
                </c:pt>
                <c:pt idx="23">
                  <c:v>8372.469457750625</c:v>
                </c:pt>
                <c:pt idx="24">
                  <c:v>8062.377996352454</c:v>
                </c:pt>
                <c:pt idx="25">
                  <c:v>7752.286534954282</c:v>
                </c:pt>
                <c:pt idx="26">
                  <c:v>7442.19507355611</c:v>
                </c:pt>
                <c:pt idx="27">
                  <c:v>7132.10361215794</c:v>
                </c:pt>
                <c:pt idx="28">
                  <c:v>6822.012150759768</c:v>
                </c:pt>
                <c:pt idx="29">
                  <c:v>6511.920689361597</c:v>
                </c:pt>
                <c:pt idx="30">
                  <c:v>6201.829227963426</c:v>
                </c:pt>
                <c:pt idx="31">
                  <c:v>5891.737766565255</c:v>
                </c:pt>
                <c:pt idx="32">
                  <c:v>5581.646305167083</c:v>
                </c:pt>
                <c:pt idx="33">
                  <c:v>5271.554843768912</c:v>
                </c:pt>
                <c:pt idx="34">
                  <c:v>4961.463382370742</c:v>
                </c:pt>
                <c:pt idx="35">
                  <c:v>4651.37192097257</c:v>
                </c:pt>
                <c:pt idx="36">
                  <c:v>4341.280459574398</c:v>
                </c:pt>
                <c:pt idx="37">
                  <c:v>4031.188998176227</c:v>
                </c:pt>
                <c:pt idx="38">
                  <c:v>3721.097536778055</c:v>
                </c:pt>
                <c:pt idx="39">
                  <c:v>3411.006075379885</c:v>
                </c:pt>
                <c:pt idx="40">
                  <c:v>3100.914613981713</c:v>
                </c:pt>
                <c:pt idx="41">
                  <c:v>2790.823152583541</c:v>
                </c:pt>
                <c:pt idx="42">
                  <c:v>2480.73169118537</c:v>
                </c:pt>
                <c:pt idx="43">
                  <c:v>2170.640229787199</c:v>
                </c:pt>
                <c:pt idx="44">
                  <c:v>1860.548768389028</c:v>
                </c:pt>
                <c:pt idx="45">
                  <c:v>1550.457306990857</c:v>
                </c:pt>
                <c:pt idx="46">
                  <c:v>1240.365845592685</c:v>
                </c:pt>
                <c:pt idx="47">
                  <c:v>930.274384194514</c:v>
                </c:pt>
                <c:pt idx="48">
                  <c:v>620.1829227963426</c:v>
                </c:pt>
                <c:pt idx="49">
                  <c:v>310.0914613981713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49.5500314359163</c:v>
                </c:pt>
                <c:pt idx="16">
                  <c:v>148.6500943077485</c:v>
                </c:pt>
                <c:pt idx="17">
                  <c:v>247.7501571795808</c:v>
                </c:pt>
                <c:pt idx="18">
                  <c:v>346.850220051413</c:v>
                </c:pt>
                <c:pt idx="19">
                  <c:v>445.9502829232452</c:v>
                </c:pt>
                <c:pt idx="20">
                  <c:v>545.0503457950775</c:v>
                </c:pt>
                <c:pt idx="21">
                  <c:v>644.1504086669098</c:v>
                </c:pt>
                <c:pt idx="22">
                  <c:v>743.250471538742</c:v>
                </c:pt>
                <c:pt idx="23">
                  <c:v>842.3505344105743</c:v>
                </c:pt>
                <c:pt idx="24">
                  <c:v>941.4505972824064</c:v>
                </c:pt>
                <c:pt idx="25">
                  <c:v>1040.550660154239</c:v>
                </c:pt>
                <c:pt idx="26">
                  <c:v>1139.650723026071</c:v>
                </c:pt>
                <c:pt idx="27">
                  <c:v>1238.750785897903</c:v>
                </c:pt>
                <c:pt idx="28">
                  <c:v>1337.850848769735</c:v>
                </c:pt>
                <c:pt idx="29">
                  <c:v>1436.950911641568</c:v>
                </c:pt>
                <c:pt idx="30">
                  <c:v>1536.0509745134</c:v>
                </c:pt>
                <c:pt idx="31">
                  <c:v>1635.151037385232</c:v>
                </c:pt>
                <c:pt idx="32">
                  <c:v>1734.251100257064</c:v>
                </c:pt>
                <c:pt idx="33">
                  <c:v>1833.351163128897</c:v>
                </c:pt>
                <c:pt idx="34">
                  <c:v>1932.451226000729</c:v>
                </c:pt>
                <c:pt idx="35">
                  <c:v>2031.551288872561</c:v>
                </c:pt>
                <c:pt idx="36">
                  <c:v>2130.651351744393</c:v>
                </c:pt>
                <c:pt idx="37">
                  <c:v>2229.751414616225</c:v>
                </c:pt>
                <c:pt idx="38">
                  <c:v>2328.851477488058</c:v>
                </c:pt>
                <c:pt idx="39">
                  <c:v>2427.95154035989</c:v>
                </c:pt>
                <c:pt idx="40">
                  <c:v>2527.051603231722</c:v>
                </c:pt>
                <c:pt idx="41">
                  <c:v>2626.151666103554</c:v>
                </c:pt>
                <c:pt idx="42">
                  <c:v>2725.251728975386</c:v>
                </c:pt>
                <c:pt idx="43">
                  <c:v>2824.351791847218</c:v>
                </c:pt>
                <c:pt idx="44">
                  <c:v>2923.451854719051</c:v>
                </c:pt>
                <c:pt idx="45">
                  <c:v>3022.551917590883</c:v>
                </c:pt>
                <c:pt idx="46">
                  <c:v>3121.651980462716</c:v>
                </c:pt>
                <c:pt idx="47">
                  <c:v>3220.752043334548</c:v>
                </c:pt>
                <c:pt idx="48">
                  <c:v>3319.85210620638</c:v>
                </c:pt>
                <c:pt idx="49">
                  <c:v>3418.952169078213</c:v>
                </c:pt>
                <c:pt idx="50">
                  <c:v>3518.052231950045</c:v>
                </c:pt>
                <c:pt idx="51">
                  <c:v>3546.39555543048</c:v>
                </c:pt>
                <c:pt idx="52">
                  <c:v>3574.738878910917</c:v>
                </c:pt>
                <c:pt idx="53">
                  <c:v>3603.082202391353</c:v>
                </c:pt>
                <c:pt idx="54">
                  <c:v>3631.425525871789</c:v>
                </c:pt>
                <c:pt idx="55">
                  <c:v>3659.768849352225</c:v>
                </c:pt>
                <c:pt idx="56">
                  <c:v>3688.112172832661</c:v>
                </c:pt>
                <c:pt idx="57">
                  <c:v>3716.455496313097</c:v>
                </c:pt>
                <c:pt idx="58">
                  <c:v>3744.798819793533</c:v>
                </c:pt>
                <c:pt idx="59">
                  <c:v>3773.14214327397</c:v>
                </c:pt>
                <c:pt idx="60">
                  <c:v>3801.485466754405</c:v>
                </c:pt>
                <c:pt idx="61">
                  <c:v>3829.828790234842</c:v>
                </c:pt>
                <c:pt idx="62">
                  <c:v>3858.172113715278</c:v>
                </c:pt>
                <c:pt idx="63">
                  <c:v>3886.515437195714</c:v>
                </c:pt>
                <c:pt idx="64">
                  <c:v>3914.85876067615</c:v>
                </c:pt>
                <c:pt idx="65">
                  <c:v>3943.202084156585</c:v>
                </c:pt>
                <c:pt idx="66">
                  <c:v>3971.545407637022</c:v>
                </c:pt>
                <c:pt idx="67">
                  <c:v>3999.888731117458</c:v>
                </c:pt>
                <c:pt idx="68">
                  <c:v>4028.232054597894</c:v>
                </c:pt>
                <c:pt idx="69">
                  <c:v>4056.57537807833</c:v>
                </c:pt>
                <c:pt idx="70">
                  <c:v>4084.918701558766</c:v>
                </c:pt>
                <c:pt idx="71">
                  <c:v>4113.262025039201</c:v>
                </c:pt>
                <c:pt idx="72">
                  <c:v>4141.605348519638</c:v>
                </c:pt>
                <c:pt idx="73">
                  <c:v>4169.948672000074</c:v>
                </c:pt>
                <c:pt idx="74">
                  <c:v>4198.29199548051</c:v>
                </c:pt>
                <c:pt idx="75">
                  <c:v>4226.635318960946</c:v>
                </c:pt>
                <c:pt idx="76">
                  <c:v>4254.978642441382</c:v>
                </c:pt>
                <c:pt idx="77">
                  <c:v>4283.321965921818</c:v>
                </c:pt>
                <c:pt idx="78">
                  <c:v>4311.665289402254</c:v>
                </c:pt>
                <c:pt idx="79">
                  <c:v>4340.008612882691</c:v>
                </c:pt>
                <c:pt idx="80">
                  <c:v>4368.351936363126</c:v>
                </c:pt>
                <c:pt idx="81">
                  <c:v>4067.086285579463</c:v>
                </c:pt>
                <c:pt idx="82">
                  <c:v>3765.820634795799</c:v>
                </c:pt>
                <c:pt idx="83">
                  <c:v>3464.554984012135</c:v>
                </c:pt>
                <c:pt idx="84">
                  <c:v>3163.289333228471</c:v>
                </c:pt>
                <c:pt idx="85">
                  <c:v>2862.023682444807</c:v>
                </c:pt>
                <c:pt idx="86">
                  <c:v>2560.758031661143</c:v>
                </c:pt>
                <c:pt idx="87">
                  <c:v>2259.49238087748</c:v>
                </c:pt>
                <c:pt idx="88">
                  <c:v>1958.226730093816</c:v>
                </c:pt>
                <c:pt idx="89">
                  <c:v>1656.961079310151</c:v>
                </c:pt>
                <c:pt idx="90">
                  <c:v>1355.695428526487</c:v>
                </c:pt>
                <c:pt idx="91">
                  <c:v>1054.429777742824</c:v>
                </c:pt>
                <c:pt idx="92">
                  <c:v>753.16412695916</c:v>
                </c:pt>
                <c:pt idx="93">
                  <c:v>451.8984761754959</c:v>
                </c:pt>
                <c:pt idx="94">
                  <c:v>150.6328253918318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5475960"/>
        <c:axId val="2092939560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47494.88785213397</c:v>
                </c:pt>
                <c:pt idx="1">
                  <c:v>47494.88785213397</c:v>
                </c:pt>
                <c:pt idx="2">
                  <c:v>47494.88785213397</c:v>
                </c:pt>
                <c:pt idx="3">
                  <c:v>47494.88785213397</c:v>
                </c:pt>
                <c:pt idx="4">
                  <c:v>47494.88785213397</c:v>
                </c:pt>
                <c:pt idx="5">
                  <c:v>47494.88785213397</c:v>
                </c:pt>
                <c:pt idx="6">
                  <c:v>47494.88785213397</c:v>
                </c:pt>
                <c:pt idx="7">
                  <c:v>47494.88785213397</c:v>
                </c:pt>
                <c:pt idx="8">
                  <c:v>47494.88785213397</c:v>
                </c:pt>
                <c:pt idx="9">
                  <c:v>47494.88785213397</c:v>
                </c:pt>
                <c:pt idx="10">
                  <c:v>47494.88785213397</c:v>
                </c:pt>
                <c:pt idx="11">
                  <c:v>47494.88785213397</c:v>
                </c:pt>
                <c:pt idx="12">
                  <c:v>47494.88785213397</c:v>
                </c:pt>
                <c:pt idx="13">
                  <c:v>47494.88785213397</c:v>
                </c:pt>
                <c:pt idx="14">
                  <c:v>47494.88785213397</c:v>
                </c:pt>
                <c:pt idx="15">
                  <c:v>47494.88785213397</c:v>
                </c:pt>
                <c:pt idx="16">
                  <c:v>47494.88785213397</c:v>
                </c:pt>
                <c:pt idx="17">
                  <c:v>47494.88785213397</c:v>
                </c:pt>
                <c:pt idx="18">
                  <c:v>47494.88785213397</c:v>
                </c:pt>
                <c:pt idx="19">
                  <c:v>47494.88785213397</c:v>
                </c:pt>
                <c:pt idx="20">
                  <c:v>47494.88785213397</c:v>
                </c:pt>
                <c:pt idx="21">
                  <c:v>47494.88785213397</c:v>
                </c:pt>
                <c:pt idx="22">
                  <c:v>47494.88785213397</c:v>
                </c:pt>
                <c:pt idx="23">
                  <c:v>47494.88785213397</c:v>
                </c:pt>
                <c:pt idx="24">
                  <c:v>47494.88785213397</c:v>
                </c:pt>
                <c:pt idx="25">
                  <c:v>47494.88785213397</c:v>
                </c:pt>
                <c:pt idx="26">
                  <c:v>47494.88785213397</c:v>
                </c:pt>
                <c:pt idx="27">
                  <c:v>47494.88785213397</c:v>
                </c:pt>
                <c:pt idx="28">
                  <c:v>47494.88785213397</c:v>
                </c:pt>
                <c:pt idx="29">
                  <c:v>47494.88785213397</c:v>
                </c:pt>
                <c:pt idx="30">
                  <c:v>47494.88785213397</c:v>
                </c:pt>
                <c:pt idx="31">
                  <c:v>47494.88785213397</c:v>
                </c:pt>
                <c:pt idx="32">
                  <c:v>47494.88785213397</c:v>
                </c:pt>
                <c:pt idx="33">
                  <c:v>47494.88785213397</c:v>
                </c:pt>
                <c:pt idx="34">
                  <c:v>47494.88785213397</c:v>
                </c:pt>
                <c:pt idx="35">
                  <c:v>47494.88785213397</c:v>
                </c:pt>
                <c:pt idx="36">
                  <c:v>47494.88785213397</c:v>
                </c:pt>
                <c:pt idx="37">
                  <c:v>47494.88785213397</c:v>
                </c:pt>
                <c:pt idx="38">
                  <c:v>47494.88785213397</c:v>
                </c:pt>
                <c:pt idx="39">
                  <c:v>47494.88785213397</c:v>
                </c:pt>
                <c:pt idx="40">
                  <c:v>47494.88785213397</c:v>
                </c:pt>
                <c:pt idx="41">
                  <c:v>47494.88785213397</c:v>
                </c:pt>
                <c:pt idx="42">
                  <c:v>47494.88785213397</c:v>
                </c:pt>
                <c:pt idx="43">
                  <c:v>47494.88785213397</c:v>
                </c:pt>
                <c:pt idx="44">
                  <c:v>47494.88785213397</c:v>
                </c:pt>
                <c:pt idx="45">
                  <c:v>47494.88785213397</c:v>
                </c:pt>
                <c:pt idx="46">
                  <c:v>47494.88785213397</c:v>
                </c:pt>
                <c:pt idx="47">
                  <c:v>47494.88785213397</c:v>
                </c:pt>
                <c:pt idx="48">
                  <c:v>47494.88785213397</c:v>
                </c:pt>
                <c:pt idx="49">
                  <c:v>47494.88785213397</c:v>
                </c:pt>
                <c:pt idx="50">
                  <c:v>47494.88785213397</c:v>
                </c:pt>
                <c:pt idx="51">
                  <c:v>47494.88785213397</c:v>
                </c:pt>
                <c:pt idx="52">
                  <c:v>47494.88785213397</c:v>
                </c:pt>
                <c:pt idx="53">
                  <c:v>47494.88785213397</c:v>
                </c:pt>
                <c:pt idx="54">
                  <c:v>47494.88785213397</c:v>
                </c:pt>
                <c:pt idx="55">
                  <c:v>47494.88785213397</c:v>
                </c:pt>
                <c:pt idx="56">
                  <c:v>47494.88785213397</c:v>
                </c:pt>
                <c:pt idx="57">
                  <c:v>47494.88785213397</c:v>
                </c:pt>
                <c:pt idx="58">
                  <c:v>47494.88785213397</c:v>
                </c:pt>
                <c:pt idx="59">
                  <c:v>47494.88785213397</c:v>
                </c:pt>
                <c:pt idx="60">
                  <c:v>47494.88785213397</c:v>
                </c:pt>
                <c:pt idx="61">
                  <c:v>47494.88785213397</c:v>
                </c:pt>
                <c:pt idx="62">
                  <c:v>47494.88785213397</c:v>
                </c:pt>
                <c:pt idx="63">
                  <c:v>47494.88785213397</c:v>
                </c:pt>
                <c:pt idx="64">
                  <c:v>47494.88785213397</c:v>
                </c:pt>
                <c:pt idx="65">
                  <c:v>47494.88785213397</c:v>
                </c:pt>
                <c:pt idx="66">
                  <c:v>47494.88785213397</c:v>
                </c:pt>
                <c:pt idx="67">
                  <c:v>47494.88785213397</c:v>
                </c:pt>
                <c:pt idx="68">
                  <c:v>47494.88785213397</c:v>
                </c:pt>
                <c:pt idx="69">
                  <c:v>47494.88785213397</c:v>
                </c:pt>
                <c:pt idx="70">
                  <c:v>47494.88785213397</c:v>
                </c:pt>
                <c:pt idx="71">
                  <c:v>47494.88785213397</c:v>
                </c:pt>
                <c:pt idx="72">
                  <c:v>47494.88785213397</c:v>
                </c:pt>
                <c:pt idx="73">
                  <c:v>47494.88785213397</c:v>
                </c:pt>
                <c:pt idx="74">
                  <c:v>47494.88785213397</c:v>
                </c:pt>
                <c:pt idx="75">
                  <c:v>47494.88785213397</c:v>
                </c:pt>
                <c:pt idx="76">
                  <c:v>47494.88785213397</c:v>
                </c:pt>
                <c:pt idx="77">
                  <c:v>47494.88785213397</c:v>
                </c:pt>
                <c:pt idx="78">
                  <c:v>47494.88785213397</c:v>
                </c:pt>
                <c:pt idx="79">
                  <c:v>47494.88785213397</c:v>
                </c:pt>
                <c:pt idx="80">
                  <c:v>47494.88785213397</c:v>
                </c:pt>
                <c:pt idx="81">
                  <c:v>47494.88785213397</c:v>
                </c:pt>
                <c:pt idx="82">
                  <c:v>47494.88785213397</c:v>
                </c:pt>
                <c:pt idx="83">
                  <c:v>47494.88785213397</c:v>
                </c:pt>
                <c:pt idx="84">
                  <c:v>47494.88785213397</c:v>
                </c:pt>
                <c:pt idx="85">
                  <c:v>47494.88785213397</c:v>
                </c:pt>
                <c:pt idx="86">
                  <c:v>47494.88785213397</c:v>
                </c:pt>
                <c:pt idx="87">
                  <c:v>47494.88785213397</c:v>
                </c:pt>
                <c:pt idx="88">
                  <c:v>47494.88785213397</c:v>
                </c:pt>
                <c:pt idx="89">
                  <c:v>47494.88785213397</c:v>
                </c:pt>
                <c:pt idx="90">
                  <c:v>47494.88785213397</c:v>
                </c:pt>
                <c:pt idx="91">
                  <c:v>47494.88785213397</c:v>
                </c:pt>
                <c:pt idx="92">
                  <c:v>47494.88785213397</c:v>
                </c:pt>
                <c:pt idx="93">
                  <c:v>47494.88785213397</c:v>
                </c:pt>
                <c:pt idx="94">
                  <c:v>47494.88785213397</c:v>
                </c:pt>
                <c:pt idx="95">
                  <c:v>47494.88785213397</c:v>
                </c:pt>
                <c:pt idx="96">
                  <c:v>47494.88785213397</c:v>
                </c:pt>
                <c:pt idx="97">
                  <c:v>47494.88785213397</c:v>
                </c:pt>
                <c:pt idx="98">
                  <c:v>47494.88785213397</c:v>
                </c:pt>
                <c:pt idx="99">
                  <c:v>47494.88785213397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475960"/>
        <c:axId val="2092939560"/>
      </c:lineChart>
      <c:catAx>
        <c:axId val="211547596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293956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9293956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547596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6816082347248"/>
          <c:y val="0.1875"/>
          <c:w val="0.166201227290723"/>
          <c:h val="0.6041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40.9696709435272</c:v>
                </c:pt>
                <c:pt idx="1">
                  <c:v>-31.90151617283915</c:v>
                </c:pt>
                <c:pt idx="2">
                  <c:v>-26.08452167310359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79.80548305150158</c:v>
                </c:pt>
                <c:pt idx="1">
                  <c:v>-45.04498905046445</c:v>
                </c:pt>
                <c:pt idx="2">
                  <c:v>3506.828580130099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-22.92247513331652</c:v>
                </c:pt>
                <c:pt idx="1">
                  <c:v>-12.17260327957158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7.866080552024894</c:v>
                </c:pt>
                <c:pt idx="1">
                  <c:v>-39.6939602723789</c:v>
                </c:pt>
                <c:pt idx="2">
                  <c:v>-229.4593618105034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-310.0914613981713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480632"/>
        <c:axId val="2092477144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18.0401658525042</c:v>
                </c:pt>
                <c:pt idx="1">
                  <c:v>3.049647084589992</c:v>
                </c:pt>
                <c:pt idx="2">
                  <c:v>136.4905988883349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208.8379855999629</c:v>
                </c:pt>
                <c:pt idx="1">
                  <c:v>259.6038749915</c:v>
                </c:pt>
                <c:pt idx="2">
                  <c:v>942.358955651301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-170.5503037689942</c:v>
                </c:pt>
                <c:pt idx="1">
                  <c:v>6290.426788362903</c:v>
                </c:pt>
                <c:pt idx="2">
                  <c:v>11279.38596534038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-165.3821127456913</c:v>
                </c:pt>
                <c:pt idx="1">
                  <c:v>0.0</c:v>
                </c:pt>
                <c:pt idx="2">
                  <c:v>4049.010346532443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723.5467432623996</c:v>
                </c:pt>
                <c:pt idx="1">
                  <c:v>-1174.213000494409</c:v>
                </c:pt>
                <c:pt idx="2">
                  <c:v>404.9010346532443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99.10006287183225</c:v>
                </c:pt>
                <c:pt idx="1">
                  <c:v>28.34332348043607</c:v>
                </c:pt>
                <c:pt idx="2">
                  <c:v>-301.2656507836639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461816"/>
        <c:axId val="2092442760"/>
      </c:scatterChart>
      <c:valAx>
        <c:axId val="209248063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2477144"/>
        <c:crosses val="autoZero"/>
        <c:crossBetween val="midCat"/>
      </c:valAx>
      <c:valAx>
        <c:axId val="20924771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2480632"/>
        <c:crosses val="autoZero"/>
        <c:crossBetween val="midCat"/>
      </c:valAx>
      <c:valAx>
        <c:axId val="209246181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2092442760"/>
        <c:crosses val="autoZero"/>
        <c:crossBetween val="midCat"/>
      </c:valAx>
      <c:valAx>
        <c:axId val="209244276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2461816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0000651822496"/>
          <c:y val="0.0385852090032154"/>
          <c:w val="0.231788209834698"/>
          <c:h val="0.90353799022710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1993.752285051856</c:v>
                </c:pt>
                <c:pt idx="1">
                  <c:v>1993.752285051856</c:v>
                </c:pt>
                <c:pt idx="2">
                  <c:v>1993.752285051856</c:v>
                </c:pt>
                <c:pt idx="3">
                  <c:v>1993.752285051856</c:v>
                </c:pt>
                <c:pt idx="4">
                  <c:v>1993.752285051856</c:v>
                </c:pt>
                <c:pt idx="5">
                  <c:v>1993.752285051856</c:v>
                </c:pt>
                <c:pt idx="6">
                  <c:v>1993.752285051856</c:v>
                </c:pt>
                <c:pt idx="7">
                  <c:v>1993.752285051856</c:v>
                </c:pt>
                <c:pt idx="8">
                  <c:v>1993.752285051856</c:v>
                </c:pt>
                <c:pt idx="9">
                  <c:v>1993.752285051856</c:v>
                </c:pt>
                <c:pt idx="10">
                  <c:v>1993.752285051856</c:v>
                </c:pt>
                <c:pt idx="11">
                  <c:v>1993.752285051856</c:v>
                </c:pt>
                <c:pt idx="12">
                  <c:v>1993.752285051856</c:v>
                </c:pt>
                <c:pt idx="13">
                  <c:v>1993.752285051856</c:v>
                </c:pt>
                <c:pt idx="14">
                  <c:v>1993.752285051856</c:v>
                </c:pt>
                <c:pt idx="15">
                  <c:v>2014.23712052362</c:v>
                </c:pt>
                <c:pt idx="16">
                  <c:v>2055.206791467147</c:v>
                </c:pt>
                <c:pt idx="17">
                  <c:v>2096.176462410675</c:v>
                </c:pt>
                <c:pt idx="18">
                  <c:v>2137.146133354202</c:v>
                </c:pt>
                <c:pt idx="19">
                  <c:v>2178.115804297729</c:v>
                </c:pt>
                <c:pt idx="20">
                  <c:v>2219.085475241256</c:v>
                </c:pt>
                <c:pt idx="21">
                  <c:v>2260.055146184783</c:v>
                </c:pt>
                <c:pt idx="22">
                  <c:v>2301.02481712831</c:v>
                </c:pt>
                <c:pt idx="23">
                  <c:v>2341.994488071838</c:v>
                </c:pt>
                <c:pt idx="24">
                  <c:v>2382.964159015365</c:v>
                </c:pt>
                <c:pt idx="25">
                  <c:v>2423.933829958892</c:v>
                </c:pt>
                <c:pt idx="26">
                  <c:v>2464.90350090242</c:v>
                </c:pt>
                <c:pt idx="27">
                  <c:v>2505.873171845946</c:v>
                </c:pt>
                <c:pt idx="28">
                  <c:v>2546.842842789473</c:v>
                </c:pt>
                <c:pt idx="29">
                  <c:v>2587.812513733</c:v>
                </c:pt>
                <c:pt idx="30">
                  <c:v>2628.782184676528</c:v>
                </c:pt>
                <c:pt idx="31">
                  <c:v>2669.751855620055</c:v>
                </c:pt>
                <c:pt idx="32">
                  <c:v>2710.721526563582</c:v>
                </c:pt>
                <c:pt idx="33">
                  <c:v>2751.69119750711</c:v>
                </c:pt>
                <c:pt idx="34">
                  <c:v>2792.660868450636</c:v>
                </c:pt>
                <c:pt idx="35">
                  <c:v>2833.630539394164</c:v>
                </c:pt>
                <c:pt idx="36">
                  <c:v>2874.600210337691</c:v>
                </c:pt>
                <c:pt idx="37">
                  <c:v>2915.569881281218</c:v>
                </c:pt>
                <c:pt idx="38">
                  <c:v>2956.539552224745</c:v>
                </c:pt>
                <c:pt idx="39">
                  <c:v>2997.509223168272</c:v>
                </c:pt>
                <c:pt idx="40">
                  <c:v>3038.478894111799</c:v>
                </c:pt>
                <c:pt idx="41">
                  <c:v>3079.448565055327</c:v>
                </c:pt>
                <c:pt idx="42">
                  <c:v>3120.418235998854</c:v>
                </c:pt>
                <c:pt idx="43">
                  <c:v>3161.387906942381</c:v>
                </c:pt>
                <c:pt idx="44">
                  <c:v>3202.357577885908</c:v>
                </c:pt>
                <c:pt idx="45">
                  <c:v>3243.327248829436</c:v>
                </c:pt>
                <c:pt idx="46">
                  <c:v>3284.296919772963</c:v>
                </c:pt>
                <c:pt idx="47">
                  <c:v>3325.26659071649</c:v>
                </c:pt>
                <c:pt idx="48">
                  <c:v>3366.236261660018</c:v>
                </c:pt>
                <c:pt idx="49">
                  <c:v>3407.205932603544</c:v>
                </c:pt>
                <c:pt idx="50">
                  <c:v>3448.175603547072</c:v>
                </c:pt>
                <c:pt idx="51">
                  <c:v>3416.274087374232</c:v>
                </c:pt>
                <c:pt idx="52">
                  <c:v>3384.372571201393</c:v>
                </c:pt>
                <c:pt idx="53">
                  <c:v>3352.471055028554</c:v>
                </c:pt>
                <c:pt idx="54">
                  <c:v>3320.569538855715</c:v>
                </c:pt>
                <c:pt idx="55">
                  <c:v>3288.668022682876</c:v>
                </c:pt>
                <c:pt idx="56">
                  <c:v>3256.766506510037</c:v>
                </c:pt>
                <c:pt idx="57">
                  <c:v>3224.864990337197</c:v>
                </c:pt>
                <c:pt idx="58">
                  <c:v>3192.963474164359</c:v>
                </c:pt>
                <c:pt idx="59">
                  <c:v>3161.06195799152</c:v>
                </c:pt>
                <c:pt idx="60">
                  <c:v>3129.16044181868</c:v>
                </c:pt>
                <c:pt idx="61">
                  <c:v>3097.258925645841</c:v>
                </c:pt>
                <c:pt idx="62">
                  <c:v>3065.357409473002</c:v>
                </c:pt>
                <c:pt idx="63">
                  <c:v>3033.455893300163</c:v>
                </c:pt>
                <c:pt idx="64">
                  <c:v>3001.554377127323</c:v>
                </c:pt>
                <c:pt idx="65">
                  <c:v>2969.652860954484</c:v>
                </c:pt>
                <c:pt idx="66">
                  <c:v>2937.751344781645</c:v>
                </c:pt>
                <c:pt idx="67">
                  <c:v>2905.849828608806</c:v>
                </c:pt>
                <c:pt idx="68">
                  <c:v>2873.948312435967</c:v>
                </c:pt>
                <c:pt idx="69">
                  <c:v>2842.046796263128</c:v>
                </c:pt>
                <c:pt idx="70">
                  <c:v>2810.145280090289</c:v>
                </c:pt>
                <c:pt idx="71">
                  <c:v>2778.24376391745</c:v>
                </c:pt>
                <c:pt idx="72">
                  <c:v>2746.34224774461</c:v>
                </c:pt>
                <c:pt idx="73">
                  <c:v>2714.440731571771</c:v>
                </c:pt>
                <c:pt idx="74">
                  <c:v>2682.539215398932</c:v>
                </c:pt>
                <c:pt idx="75">
                  <c:v>2650.637699226093</c:v>
                </c:pt>
                <c:pt idx="76">
                  <c:v>2618.736183053254</c:v>
                </c:pt>
                <c:pt idx="77">
                  <c:v>2586.834666880414</c:v>
                </c:pt>
                <c:pt idx="78">
                  <c:v>2554.933150707575</c:v>
                </c:pt>
                <c:pt idx="79">
                  <c:v>2523.031634534736</c:v>
                </c:pt>
                <c:pt idx="80">
                  <c:v>2491.130118361897</c:v>
                </c:pt>
                <c:pt idx="81">
                  <c:v>2465.045596688793</c:v>
                </c:pt>
                <c:pt idx="82">
                  <c:v>2438.96107501569</c:v>
                </c:pt>
                <c:pt idx="83">
                  <c:v>2412.876553342586</c:v>
                </c:pt>
                <c:pt idx="84">
                  <c:v>2386.792031669483</c:v>
                </c:pt>
                <c:pt idx="85">
                  <c:v>2360.70750999638</c:v>
                </c:pt>
                <c:pt idx="86">
                  <c:v>2334.622988323275</c:v>
                </c:pt>
                <c:pt idx="87">
                  <c:v>2308.538466650172</c:v>
                </c:pt>
                <c:pt idx="88">
                  <c:v>2282.453944977068</c:v>
                </c:pt>
                <c:pt idx="89">
                  <c:v>2256.369423303965</c:v>
                </c:pt>
                <c:pt idx="90">
                  <c:v>2230.284901630861</c:v>
                </c:pt>
                <c:pt idx="91">
                  <c:v>2204.200379957757</c:v>
                </c:pt>
                <c:pt idx="92">
                  <c:v>2178.115858284654</c:v>
                </c:pt>
                <c:pt idx="93">
                  <c:v>2152.03133661155</c:v>
                </c:pt>
                <c:pt idx="94">
                  <c:v>2125.946814938447</c:v>
                </c:pt>
                <c:pt idx="95">
                  <c:v>2166.084554101895</c:v>
                </c:pt>
                <c:pt idx="96">
                  <c:v>2272.444554101895</c:v>
                </c:pt>
                <c:pt idx="97">
                  <c:v>2378.804554101895</c:v>
                </c:pt>
                <c:pt idx="98">
                  <c:v>2485.164554101895</c:v>
                </c:pt>
                <c:pt idx="99">
                  <c:v>2591.524554101895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5007.1583125309</c:v>
                </c:pt>
                <c:pt idx="1">
                  <c:v>4666.8983125309</c:v>
                </c:pt>
                <c:pt idx="2">
                  <c:v>4326.638312530899</c:v>
                </c:pt>
                <c:pt idx="3">
                  <c:v>3986.3783125309</c:v>
                </c:pt>
                <c:pt idx="4">
                  <c:v>3646.1183125309</c:v>
                </c:pt>
                <c:pt idx="5">
                  <c:v>3305.8583125309</c:v>
                </c:pt>
                <c:pt idx="6">
                  <c:v>2965.5983125309</c:v>
                </c:pt>
                <c:pt idx="7">
                  <c:v>2625.3383125309</c:v>
                </c:pt>
                <c:pt idx="8">
                  <c:v>2285.0783125309</c:v>
                </c:pt>
                <c:pt idx="9">
                  <c:v>1944.8183125309</c:v>
                </c:pt>
                <c:pt idx="10">
                  <c:v>1604.5583125309</c:v>
                </c:pt>
                <c:pt idx="11">
                  <c:v>1264.2983125309</c:v>
                </c:pt>
                <c:pt idx="12">
                  <c:v>924.0383125309</c:v>
                </c:pt>
                <c:pt idx="13">
                  <c:v>583.7783125309</c:v>
                </c:pt>
                <c:pt idx="14">
                  <c:v>243.5183125308999</c:v>
                </c:pt>
                <c:pt idx="15">
                  <c:v>113.2910540566515</c:v>
                </c:pt>
                <c:pt idx="16">
                  <c:v>193.0965371081531</c:v>
                </c:pt>
                <c:pt idx="17">
                  <c:v>272.9020201596546</c:v>
                </c:pt>
                <c:pt idx="18">
                  <c:v>352.7075032111562</c:v>
                </c:pt>
                <c:pt idx="19">
                  <c:v>432.5129862626578</c:v>
                </c:pt>
                <c:pt idx="20">
                  <c:v>512.3184693141594</c:v>
                </c:pt>
                <c:pt idx="21">
                  <c:v>592.1239523656608</c:v>
                </c:pt>
                <c:pt idx="22">
                  <c:v>671.9294354171624</c:v>
                </c:pt>
                <c:pt idx="23">
                  <c:v>751.734918468664</c:v>
                </c:pt>
                <c:pt idx="24">
                  <c:v>831.5404015201656</c:v>
                </c:pt>
                <c:pt idx="25">
                  <c:v>911.3458845716672</c:v>
                </c:pt>
                <c:pt idx="26">
                  <c:v>991.1513676231689</c:v>
                </c:pt>
                <c:pt idx="27">
                  <c:v>1070.95685067467</c:v>
                </c:pt>
                <c:pt idx="28">
                  <c:v>1150.762333726172</c:v>
                </c:pt>
                <c:pt idx="29">
                  <c:v>1230.567816777674</c:v>
                </c:pt>
                <c:pt idx="30">
                  <c:v>1310.373299829175</c:v>
                </c:pt>
                <c:pt idx="31">
                  <c:v>1390.178782880677</c:v>
                </c:pt>
                <c:pt idx="32">
                  <c:v>1469.984265932178</c:v>
                </c:pt>
                <c:pt idx="33">
                  <c:v>1549.78974898368</c:v>
                </c:pt>
                <c:pt idx="34">
                  <c:v>1629.595232035181</c:v>
                </c:pt>
                <c:pt idx="35">
                  <c:v>1709.400715086683</c:v>
                </c:pt>
                <c:pt idx="36">
                  <c:v>1789.206198138185</c:v>
                </c:pt>
                <c:pt idx="37">
                  <c:v>1869.011681189686</c:v>
                </c:pt>
                <c:pt idx="38">
                  <c:v>1948.817164241188</c:v>
                </c:pt>
                <c:pt idx="39">
                  <c:v>2028.622647292689</c:v>
                </c:pt>
                <c:pt idx="40">
                  <c:v>2108.428130344191</c:v>
                </c:pt>
                <c:pt idx="41">
                  <c:v>2188.233613395693</c:v>
                </c:pt>
                <c:pt idx="42">
                  <c:v>2268.039096447194</c:v>
                </c:pt>
                <c:pt idx="43">
                  <c:v>2347.844579498696</c:v>
                </c:pt>
                <c:pt idx="44">
                  <c:v>2427.650062550198</c:v>
                </c:pt>
                <c:pt idx="45">
                  <c:v>2507.4555456017</c:v>
                </c:pt>
                <c:pt idx="46">
                  <c:v>2587.261028653201</c:v>
                </c:pt>
                <c:pt idx="47">
                  <c:v>2667.066511704702</c:v>
                </c:pt>
                <c:pt idx="48">
                  <c:v>2746.871994756203</c:v>
                </c:pt>
                <c:pt idx="49">
                  <c:v>2826.677477807705</c:v>
                </c:pt>
                <c:pt idx="50">
                  <c:v>2906.482960859207</c:v>
                </c:pt>
                <c:pt idx="51">
                  <c:v>2861.437971808742</c:v>
                </c:pt>
                <c:pt idx="52">
                  <c:v>2816.392982758278</c:v>
                </c:pt>
                <c:pt idx="53">
                  <c:v>2771.347993707813</c:v>
                </c:pt>
                <c:pt idx="54">
                  <c:v>2726.303004657349</c:v>
                </c:pt>
                <c:pt idx="55">
                  <c:v>2681.258015606884</c:v>
                </c:pt>
                <c:pt idx="56">
                  <c:v>2636.21302655642</c:v>
                </c:pt>
                <c:pt idx="57">
                  <c:v>2591.168037505955</c:v>
                </c:pt>
                <c:pt idx="58">
                  <c:v>2546.123048455491</c:v>
                </c:pt>
                <c:pt idx="59">
                  <c:v>2501.078059405027</c:v>
                </c:pt>
                <c:pt idx="60">
                  <c:v>2456.033070354562</c:v>
                </c:pt>
                <c:pt idx="61">
                  <c:v>2410.988081304098</c:v>
                </c:pt>
                <c:pt idx="62">
                  <c:v>2365.943092253633</c:v>
                </c:pt>
                <c:pt idx="63">
                  <c:v>2320.898103203168</c:v>
                </c:pt>
                <c:pt idx="64">
                  <c:v>2275.853114152704</c:v>
                </c:pt>
                <c:pt idx="65">
                  <c:v>2230.80812510224</c:v>
                </c:pt>
                <c:pt idx="66">
                  <c:v>2185.763136051775</c:v>
                </c:pt>
                <c:pt idx="67">
                  <c:v>2140.718147001311</c:v>
                </c:pt>
                <c:pt idx="68">
                  <c:v>2095.673157950847</c:v>
                </c:pt>
                <c:pt idx="69">
                  <c:v>2050.628168900382</c:v>
                </c:pt>
                <c:pt idx="70">
                  <c:v>2005.583179849918</c:v>
                </c:pt>
                <c:pt idx="71">
                  <c:v>1960.538190799453</c:v>
                </c:pt>
                <c:pt idx="72">
                  <c:v>1915.493201748989</c:v>
                </c:pt>
                <c:pt idx="73">
                  <c:v>1870.448212698524</c:v>
                </c:pt>
                <c:pt idx="74">
                  <c:v>1825.40322364806</c:v>
                </c:pt>
                <c:pt idx="75">
                  <c:v>1780.358234597595</c:v>
                </c:pt>
                <c:pt idx="76">
                  <c:v>1735.313245547131</c:v>
                </c:pt>
                <c:pt idx="77">
                  <c:v>1690.268256496666</c:v>
                </c:pt>
                <c:pt idx="78">
                  <c:v>1645.223267446202</c:v>
                </c:pt>
                <c:pt idx="79">
                  <c:v>1600.178278395738</c:v>
                </c:pt>
                <c:pt idx="80">
                  <c:v>1555.133289345273</c:v>
                </c:pt>
                <c:pt idx="81">
                  <c:v>5061.96186947537</c:v>
                </c:pt>
                <c:pt idx="82">
                  <c:v>8568.79044960547</c:v>
                </c:pt>
                <c:pt idx="83">
                  <c:v>12075.61902973557</c:v>
                </c:pt>
                <c:pt idx="84">
                  <c:v>15582.44760986567</c:v>
                </c:pt>
                <c:pt idx="85">
                  <c:v>19089.27618999577</c:v>
                </c:pt>
                <c:pt idx="86">
                  <c:v>22596.10477012587</c:v>
                </c:pt>
                <c:pt idx="87">
                  <c:v>26102.93335025597</c:v>
                </c:pt>
                <c:pt idx="88">
                  <c:v>29609.76193038607</c:v>
                </c:pt>
                <c:pt idx="89">
                  <c:v>33116.59051051617</c:v>
                </c:pt>
                <c:pt idx="90">
                  <c:v>36623.41909064626</c:v>
                </c:pt>
                <c:pt idx="91">
                  <c:v>40130.24767077636</c:v>
                </c:pt>
                <c:pt idx="92">
                  <c:v>43637.07625090645</c:v>
                </c:pt>
                <c:pt idx="93">
                  <c:v>47143.90483103655</c:v>
                </c:pt>
                <c:pt idx="94">
                  <c:v>50650.73341116666</c:v>
                </c:pt>
                <c:pt idx="95">
                  <c:v>52766.5777012317</c:v>
                </c:pt>
                <c:pt idx="96">
                  <c:v>53491.43770123171</c:v>
                </c:pt>
                <c:pt idx="97">
                  <c:v>54216.29770123171</c:v>
                </c:pt>
                <c:pt idx="98">
                  <c:v>54941.15770123171</c:v>
                </c:pt>
                <c:pt idx="99">
                  <c:v>55666.01770123171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9.020082926252131</c:v>
                </c:pt>
                <c:pt idx="16">
                  <c:v>27.06024877875633</c:v>
                </c:pt>
                <c:pt idx="17">
                  <c:v>45.10041463126053</c:v>
                </c:pt>
                <c:pt idx="18">
                  <c:v>63.14058048376473</c:v>
                </c:pt>
                <c:pt idx="19">
                  <c:v>81.18074633626892</c:v>
                </c:pt>
                <c:pt idx="20">
                  <c:v>99.22091218877313</c:v>
                </c:pt>
                <c:pt idx="21">
                  <c:v>117.2610780412773</c:v>
                </c:pt>
                <c:pt idx="22">
                  <c:v>135.3012438937815</c:v>
                </c:pt>
                <c:pt idx="23">
                  <c:v>153.3414097462857</c:v>
                </c:pt>
                <c:pt idx="24">
                  <c:v>171.38157559879</c:v>
                </c:pt>
                <c:pt idx="25">
                  <c:v>189.4217414512941</c:v>
                </c:pt>
                <c:pt idx="26">
                  <c:v>207.4619073037983</c:v>
                </c:pt>
                <c:pt idx="27">
                  <c:v>225.5020731563025</c:v>
                </c:pt>
                <c:pt idx="28">
                  <c:v>243.5422390088067</c:v>
                </c:pt>
                <c:pt idx="29">
                  <c:v>261.582404861311</c:v>
                </c:pt>
                <c:pt idx="30">
                  <c:v>279.6225707138151</c:v>
                </c:pt>
                <c:pt idx="31">
                  <c:v>297.6627365663193</c:v>
                </c:pt>
                <c:pt idx="32">
                  <c:v>315.7029024188235</c:v>
                </c:pt>
                <c:pt idx="33">
                  <c:v>333.7430682713277</c:v>
                </c:pt>
                <c:pt idx="34">
                  <c:v>351.783234123832</c:v>
                </c:pt>
                <c:pt idx="35">
                  <c:v>369.8233999763361</c:v>
                </c:pt>
                <c:pt idx="36">
                  <c:v>387.8635658288402</c:v>
                </c:pt>
                <c:pt idx="37">
                  <c:v>405.9037316813445</c:v>
                </c:pt>
                <c:pt idx="38">
                  <c:v>423.9438975338486</c:v>
                </c:pt>
                <c:pt idx="39">
                  <c:v>441.9840633863529</c:v>
                </c:pt>
                <c:pt idx="40">
                  <c:v>460.0242292388571</c:v>
                </c:pt>
                <c:pt idx="41">
                  <c:v>478.0643950913612</c:v>
                </c:pt>
                <c:pt idx="42">
                  <c:v>496.1045609438654</c:v>
                </c:pt>
                <c:pt idx="43">
                  <c:v>514.1447267963697</c:v>
                </c:pt>
                <c:pt idx="44">
                  <c:v>532.1848926488738</c:v>
                </c:pt>
                <c:pt idx="45">
                  <c:v>550.225058501378</c:v>
                </c:pt>
                <c:pt idx="46">
                  <c:v>568.2652243538822</c:v>
                </c:pt>
                <c:pt idx="47">
                  <c:v>586.3053902063865</c:v>
                </c:pt>
                <c:pt idx="48">
                  <c:v>604.3455560588907</c:v>
                </c:pt>
                <c:pt idx="49">
                  <c:v>622.3857219113948</c:v>
                </c:pt>
                <c:pt idx="50">
                  <c:v>640.425887763899</c:v>
                </c:pt>
                <c:pt idx="51">
                  <c:v>643.475534848489</c:v>
                </c:pt>
                <c:pt idx="52">
                  <c:v>646.525181933079</c:v>
                </c:pt>
                <c:pt idx="53">
                  <c:v>649.574829017669</c:v>
                </c:pt>
                <c:pt idx="54">
                  <c:v>652.624476102259</c:v>
                </c:pt>
                <c:pt idx="55">
                  <c:v>655.674123186849</c:v>
                </c:pt>
                <c:pt idx="56">
                  <c:v>658.723770271439</c:v>
                </c:pt>
                <c:pt idx="57">
                  <c:v>661.773417356029</c:v>
                </c:pt>
                <c:pt idx="58">
                  <c:v>664.823064440619</c:v>
                </c:pt>
                <c:pt idx="59">
                  <c:v>667.872711525209</c:v>
                </c:pt>
                <c:pt idx="60">
                  <c:v>670.9223586097989</c:v>
                </c:pt>
                <c:pt idx="61">
                  <c:v>673.9720056943889</c:v>
                </c:pt>
                <c:pt idx="62">
                  <c:v>677.0216527789789</c:v>
                </c:pt>
                <c:pt idx="63">
                  <c:v>680.0712998635689</c:v>
                </c:pt>
                <c:pt idx="64">
                  <c:v>683.120946948159</c:v>
                </c:pt>
                <c:pt idx="65">
                  <c:v>686.170594032749</c:v>
                </c:pt>
                <c:pt idx="66">
                  <c:v>689.220241117339</c:v>
                </c:pt>
                <c:pt idx="67">
                  <c:v>692.2698882019289</c:v>
                </c:pt>
                <c:pt idx="68">
                  <c:v>695.3195352865189</c:v>
                </c:pt>
                <c:pt idx="69">
                  <c:v>698.3691823711089</c:v>
                </c:pt>
                <c:pt idx="70">
                  <c:v>701.4188294556989</c:v>
                </c:pt>
                <c:pt idx="71">
                  <c:v>704.4684765402888</c:v>
                </c:pt>
                <c:pt idx="72">
                  <c:v>707.5181236248789</c:v>
                </c:pt>
                <c:pt idx="73">
                  <c:v>710.5677707094688</c:v>
                </c:pt>
                <c:pt idx="74">
                  <c:v>713.6174177940588</c:v>
                </c:pt>
                <c:pt idx="75">
                  <c:v>716.6670648786488</c:v>
                </c:pt>
                <c:pt idx="76">
                  <c:v>719.7167119632388</c:v>
                </c:pt>
                <c:pt idx="77">
                  <c:v>722.7663590478288</c:v>
                </c:pt>
                <c:pt idx="78">
                  <c:v>725.8160061324188</c:v>
                </c:pt>
                <c:pt idx="79">
                  <c:v>728.8656532170088</c:v>
                </c:pt>
                <c:pt idx="80">
                  <c:v>731.9153003015988</c:v>
                </c:pt>
                <c:pt idx="81">
                  <c:v>868.4058991899336</c:v>
                </c:pt>
                <c:pt idx="82">
                  <c:v>1004.896498078268</c:v>
                </c:pt>
                <c:pt idx="83">
                  <c:v>1141.387096966603</c:v>
                </c:pt>
                <c:pt idx="84">
                  <c:v>1277.877695854938</c:v>
                </c:pt>
                <c:pt idx="85">
                  <c:v>1414.368294743273</c:v>
                </c:pt>
                <c:pt idx="86">
                  <c:v>1550.858893631608</c:v>
                </c:pt>
                <c:pt idx="87">
                  <c:v>1687.349492519943</c:v>
                </c:pt>
                <c:pt idx="88">
                  <c:v>1823.840091408278</c:v>
                </c:pt>
                <c:pt idx="89">
                  <c:v>1960.330690296613</c:v>
                </c:pt>
                <c:pt idx="90">
                  <c:v>2096.821289184947</c:v>
                </c:pt>
                <c:pt idx="91">
                  <c:v>2233.311888073282</c:v>
                </c:pt>
                <c:pt idx="92">
                  <c:v>2369.802486961617</c:v>
                </c:pt>
                <c:pt idx="93">
                  <c:v>2506.293085849952</c:v>
                </c:pt>
                <c:pt idx="94">
                  <c:v>2642.783684738287</c:v>
                </c:pt>
                <c:pt idx="95">
                  <c:v>2715.244484182454</c:v>
                </c:pt>
                <c:pt idx="96">
                  <c:v>2723.675484182454</c:v>
                </c:pt>
                <c:pt idx="97">
                  <c:v>2732.106484182454</c:v>
                </c:pt>
                <c:pt idx="98">
                  <c:v>2740.537484182454</c:v>
                </c:pt>
                <c:pt idx="99">
                  <c:v>2748.968484182454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104.4189927999818</c:v>
                </c:pt>
                <c:pt idx="16">
                  <c:v>313.2569783999447</c:v>
                </c:pt>
                <c:pt idx="17">
                  <c:v>522.0949639999076</c:v>
                </c:pt>
                <c:pt idx="18">
                  <c:v>730.9329495998704</c:v>
                </c:pt>
                <c:pt idx="19">
                  <c:v>939.7709351998332</c:v>
                </c:pt>
                <c:pt idx="20">
                  <c:v>1148.608920799796</c:v>
                </c:pt>
                <c:pt idx="21">
                  <c:v>1357.446906399759</c:v>
                </c:pt>
                <c:pt idx="22">
                  <c:v>1566.284891999722</c:v>
                </c:pt>
                <c:pt idx="23">
                  <c:v>1775.122877599685</c:v>
                </c:pt>
                <c:pt idx="24">
                  <c:v>1983.960863199648</c:v>
                </c:pt>
                <c:pt idx="25">
                  <c:v>2192.79884879961</c:v>
                </c:pt>
                <c:pt idx="26">
                  <c:v>2401.636834399574</c:v>
                </c:pt>
                <c:pt idx="27">
                  <c:v>2610.474819999537</c:v>
                </c:pt>
                <c:pt idx="28">
                  <c:v>2819.3128055995</c:v>
                </c:pt>
                <c:pt idx="29">
                  <c:v>3028.150791199462</c:v>
                </c:pt>
                <c:pt idx="30">
                  <c:v>3236.988776799425</c:v>
                </c:pt>
                <c:pt idx="31">
                  <c:v>3445.826762399387</c:v>
                </c:pt>
                <c:pt idx="32">
                  <c:v>3654.66474799935</c:v>
                </c:pt>
                <c:pt idx="33">
                  <c:v>3863.502733599313</c:v>
                </c:pt>
                <c:pt idx="34">
                  <c:v>4072.340719199276</c:v>
                </c:pt>
                <c:pt idx="35">
                  <c:v>4281.17870479924</c:v>
                </c:pt>
                <c:pt idx="36">
                  <c:v>4490.016690399202</c:v>
                </c:pt>
                <c:pt idx="37">
                  <c:v>4698.854675999165</c:v>
                </c:pt>
                <c:pt idx="38">
                  <c:v>4907.692661599127</c:v>
                </c:pt>
                <c:pt idx="39">
                  <c:v>5116.530647199091</c:v>
                </c:pt>
                <c:pt idx="40">
                  <c:v>5325.368632799053</c:v>
                </c:pt>
                <c:pt idx="41">
                  <c:v>5534.206618399016</c:v>
                </c:pt>
                <c:pt idx="42">
                  <c:v>5743.04460399898</c:v>
                </c:pt>
                <c:pt idx="43">
                  <c:v>5951.882589598942</c:v>
                </c:pt>
                <c:pt idx="44">
                  <c:v>6160.720575198905</c:v>
                </c:pt>
                <c:pt idx="45">
                  <c:v>6369.558560798867</c:v>
                </c:pt>
                <c:pt idx="46">
                  <c:v>6578.39654639883</c:v>
                </c:pt>
                <c:pt idx="47">
                  <c:v>6787.234531998793</c:v>
                </c:pt>
                <c:pt idx="48">
                  <c:v>6996.072517598756</c:v>
                </c:pt>
                <c:pt idx="49">
                  <c:v>7204.91050319872</c:v>
                </c:pt>
                <c:pt idx="50">
                  <c:v>7413.748488798682</c:v>
                </c:pt>
                <c:pt idx="51">
                  <c:v>7673.352363790181</c:v>
                </c:pt>
                <c:pt idx="52">
                  <c:v>7932.956238781682</c:v>
                </c:pt>
                <c:pt idx="53">
                  <c:v>8192.560113773183</c:v>
                </c:pt>
                <c:pt idx="54">
                  <c:v>8452.163988764681</c:v>
                </c:pt>
                <c:pt idx="55">
                  <c:v>8711.767863756182</c:v>
                </c:pt>
                <c:pt idx="56">
                  <c:v>8971.371738747683</c:v>
                </c:pt>
                <c:pt idx="57">
                  <c:v>9230.975613739181</c:v>
                </c:pt>
                <c:pt idx="58">
                  <c:v>9490.57948873068</c:v>
                </c:pt>
                <c:pt idx="59">
                  <c:v>9750.183363722182</c:v>
                </c:pt>
                <c:pt idx="60">
                  <c:v>10009.78723871368</c:v>
                </c:pt>
                <c:pt idx="61">
                  <c:v>10269.39111370518</c:v>
                </c:pt>
                <c:pt idx="62">
                  <c:v>10528.99498869668</c:v>
                </c:pt>
                <c:pt idx="63">
                  <c:v>10788.59886368818</c:v>
                </c:pt>
                <c:pt idx="64">
                  <c:v>11048.20273867968</c:v>
                </c:pt>
                <c:pt idx="65">
                  <c:v>11307.80661367118</c:v>
                </c:pt>
                <c:pt idx="66">
                  <c:v>11567.41048866268</c:v>
                </c:pt>
                <c:pt idx="67">
                  <c:v>11827.01436365418</c:v>
                </c:pt>
                <c:pt idx="68">
                  <c:v>12086.61823864568</c:v>
                </c:pt>
                <c:pt idx="69">
                  <c:v>12346.22211363718</c:v>
                </c:pt>
                <c:pt idx="70">
                  <c:v>12605.82598862868</c:v>
                </c:pt>
                <c:pt idx="71">
                  <c:v>12865.42986362018</c:v>
                </c:pt>
                <c:pt idx="72">
                  <c:v>13125.03373861168</c:v>
                </c:pt>
                <c:pt idx="73">
                  <c:v>13384.63761360318</c:v>
                </c:pt>
                <c:pt idx="74">
                  <c:v>13644.24148859468</c:v>
                </c:pt>
                <c:pt idx="75">
                  <c:v>13903.84536358618</c:v>
                </c:pt>
                <c:pt idx="76">
                  <c:v>14163.44923857768</c:v>
                </c:pt>
                <c:pt idx="77">
                  <c:v>14423.05311356918</c:v>
                </c:pt>
                <c:pt idx="78">
                  <c:v>14682.65698856068</c:v>
                </c:pt>
                <c:pt idx="79">
                  <c:v>14942.26086355218</c:v>
                </c:pt>
                <c:pt idx="80">
                  <c:v>15201.86473854368</c:v>
                </c:pt>
                <c:pt idx="81">
                  <c:v>16144.22369419498</c:v>
                </c:pt>
                <c:pt idx="82">
                  <c:v>17086.58264984628</c:v>
                </c:pt>
                <c:pt idx="83">
                  <c:v>18028.94160549758</c:v>
                </c:pt>
                <c:pt idx="84">
                  <c:v>18971.30056114888</c:v>
                </c:pt>
                <c:pt idx="85">
                  <c:v>19913.65951680019</c:v>
                </c:pt>
                <c:pt idx="86">
                  <c:v>20856.01847245149</c:v>
                </c:pt>
                <c:pt idx="87">
                  <c:v>21798.37742810279</c:v>
                </c:pt>
                <c:pt idx="88">
                  <c:v>22740.7363837541</c:v>
                </c:pt>
                <c:pt idx="89">
                  <c:v>23683.09533940539</c:v>
                </c:pt>
                <c:pt idx="90">
                  <c:v>24625.4542950567</c:v>
                </c:pt>
                <c:pt idx="91">
                  <c:v>25567.81325070799</c:v>
                </c:pt>
                <c:pt idx="92">
                  <c:v>26510.17220635929</c:v>
                </c:pt>
                <c:pt idx="93">
                  <c:v>27452.53116201059</c:v>
                </c:pt>
                <c:pt idx="94">
                  <c:v>28394.8901176619</c:v>
                </c:pt>
                <c:pt idx="95">
                  <c:v>28866.06959548754</c:v>
                </c:pt>
                <c:pt idx="96">
                  <c:v>28866.06959548754</c:v>
                </c:pt>
                <c:pt idx="97">
                  <c:v>28866.06959548754</c:v>
                </c:pt>
                <c:pt idx="98">
                  <c:v>28866.06959548754</c:v>
                </c:pt>
                <c:pt idx="99">
                  <c:v>28866.06959548754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1178.925965619884</c:v>
                </c:pt>
                <c:pt idx="1">
                  <c:v>1178.925965619884</c:v>
                </c:pt>
                <c:pt idx="2">
                  <c:v>1178.925965619884</c:v>
                </c:pt>
                <c:pt idx="3">
                  <c:v>1178.925965619884</c:v>
                </c:pt>
                <c:pt idx="4">
                  <c:v>1178.925965619884</c:v>
                </c:pt>
                <c:pt idx="5">
                  <c:v>1178.925965619884</c:v>
                </c:pt>
                <c:pt idx="6">
                  <c:v>1178.925965619884</c:v>
                </c:pt>
                <c:pt idx="7">
                  <c:v>1178.925965619884</c:v>
                </c:pt>
                <c:pt idx="8">
                  <c:v>1178.925965619884</c:v>
                </c:pt>
                <c:pt idx="9">
                  <c:v>1178.925965619884</c:v>
                </c:pt>
                <c:pt idx="10">
                  <c:v>1178.925965619884</c:v>
                </c:pt>
                <c:pt idx="11">
                  <c:v>1178.925965619884</c:v>
                </c:pt>
                <c:pt idx="12">
                  <c:v>1178.925965619884</c:v>
                </c:pt>
                <c:pt idx="13">
                  <c:v>1178.925965619884</c:v>
                </c:pt>
                <c:pt idx="14">
                  <c:v>1178.925965619884</c:v>
                </c:pt>
                <c:pt idx="15">
                  <c:v>1167.464728053226</c:v>
                </c:pt>
                <c:pt idx="16">
                  <c:v>1144.542252919909</c:v>
                </c:pt>
                <c:pt idx="17">
                  <c:v>1121.619777786593</c:v>
                </c:pt>
                <c:pt idx="18">
                  <c:v>1098.697302653276</c:v>
                </c:pt>
                <c:pt idx="19">
                  <c:v>1075.77482751996</c:v>
                </c:pt>
                <c:pt idx="20">
                  <c:v>1052.852352386643</c:v>
                </c:pt>
                <c:pt idx="21">
                  <c:v>1029.929877253327</c:v>
                </c:pt>
                <c:pt idx="22">
                  <c:v>1007.00740212001</c:v>
                </c:pt>
                <c:pt idx="23">
                  <c:v>984.0849269866935</c:v>
                </c:pt>
                <c:pt idx="24">
                  <c:v>961.162451853377</c:v>
                </c:pt>
                <c:pt idx="25">
                  <c:v>938.2399767200604</c:v>
                </c:pt>
                <c:pt idx="26">
                  <c:v>915.3175015867439</c:v>
                </c:pt>
                <c:pt idx="27">
                  <c:v>892.3950264534274</c:v>
                </c:pt>
                <c:pt idx="28">
                  <c:v>869.472551320111</c:v>
                </c:pt>
                <c:pt idx="29">
                  <c:v>846.5500761867944</c:v>
                </c:pt>
                <c:pt idx="30">
                  <c:v>823.6276010534779</c:v>
                </c:pt>
                <c:pt idx="31">
                  <c:v>800.7051259201614</c:v>
                </c:pt>
                <c:pt idx="32">
                  <c:v>777.7826507868449</c:v>
                </c:pt>
                <c:pt idx="33">
                  <c:v>754.8601756535284</c:v>
                </c:pt>
                <c:pt idx="34">
                  <c:v>731.9377005202118</c:v>
                </c:pt>
                <c:pt idx="35">
                  <c:v>709.0152253868953</c:v>
                </c:pt>
                <c:pt idx="36">
                  <c:v>686.0927502535787</c:v>
                </c:pt>
                <c:pt idx="37">
                  <c:v>663.1702751202623</c:v>
                </c:pt>
                <c:pt idx="38">
                  <c:v>640.2477999869458</c:v>
                </c:pt>
                <c:pt idx="39">
                  <c:v>617.3253248536292</c:v>
                </c:pt>
                <c:pt idx="40">
                  <c:v>594.4028497203127</c:v>
                </c:pt>
                <c:pt idx="41">
                  <c:v>571.480374586996</c:v>
                </c:pt>
                <c:pt idx="42">
                  <c:v>548.5578994536796</c:v>
                </c:pt>
                <c:pt idx="43">
                  <c:v>525.6354243203631</c:v>
                </c:pt>
                <c:pt idx="44">
                  <c:v>502.7129491870466</c:v>
                </c:pt>
                <c:pt idx="45">
                  <c:v>479.7904740537301</c:v>
                </c:pt>
                <c:pt idx="46">
                  <c:v>456.8679989204136</c:v>
                </c:pt>
                <c:pt idx="47">
                  <c:v>433.945523787097</c:v>
                </c:pt>
                <c:pt idx="48">
                  <c:v>411.0230486537805</c:v>
                </c:pt>
                <c:pt idx="49">
                  <c:v>388.100573520464</c:v>
                </c:pt>
                <c:pt idx="50">
                  <c:v>365.1780983871475</c:v>
                </c:pt>
                <c:pt idx="51">
                  <c:v>353.0054951075758</c:v>
                </c:pt>
                <c:pt idx="52">
                  <c:v>340.8328918280042</c:v>
                </c:pt>
                <c:pt idx="53">
                  <c:v>328.6602885484326</c:v>
                </c:pt>
                <c:pt idx="54">
                  <c:v>316.4876852688611</c:v>
                </c:pt>
                <c:pt idx="55">
                  <c:v>304.3150819892895</c:v>
                </c:pt>
                <c:pt idx="56">
                  <c:v>292.142478709718</c:v>
                </c:pt>
                <c:pt idx="57">
                  <c:v>279.9698754301463</c:v>
                </c:pt>
                <c:pt idx="58">
                  <c:v>267.7972721505747</c:v>
                </c:pt>
                <c:pt idx="59">
                  <c:v>255.6246688710032</c:v>
                </c:pt>
                <c:pt idx="60">
                  <c:v>243.4520655914316</c:v>
                </c:pt>
                <c:pt idx="61">
                  <c:v>231.27946231186</c:v>
                </c:pt>
                <c:pt idx="62">
                  <c:v>219.1068590322884</c:v>
                </c:pt>
                <c:pt idx="63">
                  <c:v>206.9342557527168</c:v>
                </c:pt>
                <c:pt idx="64">
                  <c:v>194.7616524731453</c:v>
                </c:pt>
                <c:pt idx="65">
                  <c:v>182.5890491935737</c:v>
                </c:pt>
                <c:pt idx="66">
                  <c:v>170.4164459140021</c:v>
                </c:pt>
                <c:pt idx="67">
                  <c:v>158.2438426344305</c:v>
                </c:pt>
                <c:pt idx="68">
                  <c:v>146.071239354859</c:v>
                </c:pt>
                <c:pt idx="69">
                  <c:v>133.8986360752874</c:v>
                </c:pt>
                <c:pt idx="70">
                  <c:v>121.7260327957158</c:v>
                </c:pt>
                <c:pt idx="71">
                  <c:v>109.5534295161442</c:v>
                </c:pt>
                <c:pt idx="72">
                  <c:v>97.38082623657266</c:v>
                </c:pt>
                <c:pt idx="73">
                  <c:v>85.20822295700105</c:v>
                </c:pt>
                <c:pt idx="74">
                  <c:v>73.03561967742945</c:v>
                </c:pt>
                <c:pt idx="75">
                  <c:v>60.8630163978579</c:v>
                </c:pt>
                <c:pt idx="76">
                  <c:v>48.6904131182863</c:v>
                </c:pt>
                <c:pt idx="77">
                  <c:v>36.51780983871475</c:v>
                </c:pt>
                <c:pt idx="78">
                  <c:v>24.34520655914315</c:v>
                </c:pt>
                <c:pt idx="79">
                  <c:v>12.1726032795716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26.09499999999994</c:v>
                </c:pt>
                <c:pt idx="96">
                  <c:v>78.28499999999982</c:v>
                </c:pt>
                <c:pt idx="97">
                  <c:v>130.4749999999997</c:v>
                </c:pt>
                <c:pt idx="98">
                  <c:v>182.6649999999996</c:v>
                </c:pt>
                <c:pt idx="99">
                  <c:v>234.8549999999995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6054.535783799295</c:v>
                </c:pt>
                <c:pt idx="1">
                  <c:v>6054.535783799295</c:v>
                </c:pt>
                <c:pt idx="2">
                  <c:v>6054.535783799295</c:v>
                </c:pt>
                <c:pt idx="3">
                  <c:v>6054.535783799295</c:v>
                </c:pt>
                <c:pt idx="4">
                  <c:v>6054.535783799295</c:v>
                </c:pt>
                <c:pt idx="5">
                  <c:v>6054.535783799295</c:v>
                </c:pt>
                <c:pt idx="6">
                  <c:v>6054.535783799295</c:v>
                </c:pt>
                <c:pt idx="7">
                  <c:v>6054.535783799295</c:v>
                </c:pt>
                <c:pt idx="8">
                  <c:v>6054.535783799295</c:v>
                </c:pt>
                <c:pt idx="9">
                  <c:v>6054.535783799295</c:v>
                </c:pt>
                <c:pt idx="10">
                  <c:v>6054.535783799295</c:v>
                </c:pt>
                <c:pt idx="11">
                  <c:v>6054.535783799295</c:v>
                </c:pt>
                <c:pt idx="12">
                  <c:v>6054.535783799295</c:v>
                </c:pt>
                <c:pt idx="13">
                  <c:v>6054.535783799295</c:v>
                </c:pt>
                <c:pt idx="14">
                  <c:v>6054.535783799295</c:v>
                </c:pt>
                <c:pt idx="15">
                  <c:v>5969.260631914798</c:v>
                </c:pt>
                <c:pt idx="16">
                  <c:v>5798.710328145803</c:v>
                </c:pt>
                <c:pt idx="17">
                  <c:v>5628.160024376808</c:v>
                </c:pt>
                <c:pt idx="18">
                  <c:v>5457.609720607814</c:v>
                </c:pt>
                <c:pt idx="19">
                  <c:v>5287.059416838821</c:v>
                </c:pt>
                <c:pt idx="20">
                  <c:v>5116.509113069826</c:v>
                </c:pt>
                <c:pt idx="21">
                  <c:v>4945.958809300832</c:v>
                </c:pt>
                <c:pt idx="22">
                  <c:v>4775.408505531838</c:v>
                </c:pt>
                <c:pt idx="23">
                  <c:v>4604.858201762843</c:v>
                </c:pt>
                <c:pt idx="24">
                  <c:v>4434.307897993849</c:v>
                </c:pt>
                <c:pt idx="25">
                  <c:v>4263.757594224855</c:v>
                </c:pt>
                <c:pt idx="26">
                  <c:v>4093.207290455861</c:v>
                </c:pt>
                <c:pt idx="27">
                  <c:v>3922.656986686867</c:v>
                </c:pt>
                <c:pt idx="28">
                  <c:v>3752.106682917873</c:v>
                </c:pt>
                <c:pt idx="29">
                  <c:v>3581.556379148878</c:v>
                </c:pt>
                <c:pt idx="30">
                  <c:v>3411.006075379884</c:v>
                </c:pt>
                <c:pt idx="31">
                  <c:v>3240.45577161089</c:v>
                </c:pt>
                <c:pt idx="32">
                  <c:v>3069.905467841896</c:v>
                </c:pt>
                <c:pt idx="33">
                  <c:v>2899.355164072901</c:v>
                </c:pt>
                <c:pt idx="34">
                  <c:v>2728.804860303907</c:v>
                </c:pt>
                <c:pt idx="35">
                  <c:v>2558.254556534913</c:v>
                </c:pt>
                <c:pt idx="36">
                  <c:v>2387.704252765919</c:v>
                </c:pt>
                <c:pt idx="37">
                  <c:v>2217.153948996925</c:v>
                </c:pt>
                <c:pt idx="38">
                  <c:v>2046.60364522793</c:v>
                </c:pt>
                <c:pt idx="39">
                  <c:v>1876.053341458936</c:v>
                </c:pt>
                <c:pt idx="40">
                  <c:v>1705.503037689942</c:v>
                </c:pt>
                <c:pt idx="41">
                  <c:v>1534.952733920948</c:v>
                </c:pt>
                <c:pt idx="42">
                  <c:v>1364.402430151954</c:v>
                </c:pt>
                <c:pt idx="43">
                  <c:v>1193.852126382959</c:v>
                </c:pt>
                <c:pt idx="44">
                  <c:v>1023.301822613965</c:v>
                </c:pt>
                <c:pt idx="45">
                  <c:v>852.7515188449706</c:v>
                </c:pt>
                <c:pt idx="46">
                  <c:v>682.2012150759765</c:v>
                </c:pt>
                <c:pt idx="47">
                  <c:v>511.6509113069824</c:v>
                </c:pt>
                <c:pt idx="48">
                  <c:v>341.1006075379882</c:v>
                </c:pt>
                <c:pt idx="49">
                  <c:v>170.5503037689941</c:v>
                </c:pt>
                <c:pt idx="50">
                  <c:v>0.0</c:v>
                </c:pt>
                <c:pt idx="51">
                  <c:v>6290.426788362903</c:v>
                </c:pt>
                <c:pt idx="52">
                  <c:v>12580.85357672581</c:v>
                </c:pt>
                <c:pt idx="53">
                  <c:v>18871.28036508871</c:v>
                </c:pt>
                <c:pt idx="54">
                  <c:v>25161.70715345161</c:v>
                </c:pt>
                <c:pt idx="55">
                  <c:v>31452.13394181451</c:v>
                </c:pt>
                <c:pt idx="56">
                  <c:v>37742.56073017741</c:v>
                </c:pt>
                <c:pt idx="57">
                  <c:v>44032.98751854032</c:v>
                </c:pt>
                <c:pt idx="58">
                  <c:v>50323.41430690322</c:v>
                </c:pt>
                <c:pt idx="59">
                  <c:v>56613.84109526612</c:v>
                </c:pt>
                <c:pt idx="60">
                  <c:v>62904.26788362903</c:v>
                </c:pt>
                <c:pt idx="61">
                  <c:v>69194.69467199193</c:v>
                </c:pt>
                <c:pt idx="62">
                  <c:v>75485.1214603548</c:v>
                </c:pt>
                <c:pt idx="63">
                  <c:v>81775.54824871774</c:v>
                </c:pt>
                <c:pt idx="64">
                  <c:v>88065.97503708064</c:v>
                </c:pt>
                <c:pt idx="65">
                  <c:v>94356.40182544354</c:v>
                </c:pt>
                <c:pt idx="66">
                  <c:v>100646.8286138064</c:v>
                </c:pt>
                <c:pt idx="67">
                  <c:v>106937.2554021694</c:v>
                </c:pt>
                <c:pt idx="68">
                  <c:v>113227.6821905322</c:v>
                </c:pt>
                <c:pt idx="69">
                  <c:v>119518.1089788952</c:v>
                </c:pt>
                <c:pt idx="70">
                  <c:v>125808.5357672581</c:v>
                </c:pt>
                <c:pt idx="71">
                  <c:v>132098.962555621</c:v>
                </c:pt>
                <c:pt idx="72">
                  <c:v>138389.3893439839</c:v>
                </c:pt>
                <c:pt idx="73">
                  <c:v>144679.8161323468</c:v>
                </c:pt>
                <c:pt idx="74">
                  <c:v>150970.2429207096</c:v>
                </c:pt>
                <c:pt idx="75">
                  <c:v>157260.6697090726</c:v>
                </c:pt>
                <c:pt idx="76">
                  <c:v>163551.0964974355</c:v>
                </c:pt>
                <c:pt idx="77">
                  <c:v>169841.5232857984</c:v>
                </c:pt>
                <c:pt idx="78">
                  <c:v>176131.9500741613</c:v>
                </c:pt>
                <c:pt idx="79">
                  <c:v>182422.3768625242</c:v>
                </c:pt>
                <c:pt idx="80">
                  <c:v>188712.8036508871</c:v>
                </c:pt>
                <c:pt idx="81">
                  <c:v>199992.1896162275</c:v>
                </c:pt>
                <c:pt idx="82">
                  <c:v>211271.5755815678</c:v>
                </c:pt>
                <c:pt idx="83">
                  <c:v>222550.9615469082</c:v>
                </c:pt>
                <c:pt idx="84">
                  <c:v>233830.3475122486</c:v>
                </c:pt>
                <c:pt idx="85">
                  <c:v>245109.733477589</c:v>
                </c:pt>
                <c:pt idx="86">
                  <c:v>256389.1194429293</c:v>
                </c:pt>
                <c:pt idx="87">
                  <c:v>267668.5054082697</c:v>
                </c:pt>
                <c:pt idx="88">
                  <c:v>278947.8913736101</c:v>
                </c:pt>
                <c:pt idx="89">
                  <c:v>290227.2773389505</c:v>
                </c:pt>
                <c:pt idx="90">
                  <c:v>301506.6633042909</c:v>
                </c:pt>
                <c:pt idx="91">
                  <c:v>312786.0492696313</c:v>
                </c:pt>
                <c:pt idx="92">
                  <c:v>324065.4352349716</c:v>
                </c:pt>
                <c:pt idx="93">
                  <c:v>335344.821200312</c:v>
                </c:pt>
                <c:pt idx="94">
                  <c:v>346624.2071656524</c:v>
                </c:pt>
                <c:pt idx="95">
                  <c:v>352263.9001483225</c:v>
                </c:pt>
                <c:pt idx="96">
                  <c:v>352263.9001483225</c:v>
                </c:pt>
                <c:pt idx="97">
                  <c:v>352263.9001483225</c:v>
                </c:pt>
                <c:pt idx="98">
                  <c:v>352263.9001483225</c:v>
                </c:pt>
                <c:pt idx="99">
                  <c:v>352263.9001483225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5871.065002472043</c:v>
                </c:pt>
                <c:pt idx="1">
                  <c:v>5871.065002472043</c:v>
                </c:pt>
                <c:pt idx="2">
                  <c:v>5871.065002472043</c:v>
                </c:pt>
                <c:pt idx="3">
                  <c:v>5871.065002472043</c:v>
                </c:pt>
                <c:pt idx="4">
                  <c:v>5871.065002472043</c:v>
                </c:pt>
                <c:pt idx="5">
                  <c:v>5871.065002472043</c:v>
                </c:pt>
                <c:pt idx="6">
                  <c:v>5871.065002472043</c:v>
                </c:pt>
                <c:pt idx="7">
                  <c:v>5871.065002472043</c:v>
                </c:pt>
                <c:pt idx="8">
                  <c:v>5871.065002472043</c:v>
                </c:pt>
                <c:pt idx="9">
                  <c:v>5871.065002472043</c:v>
                </c:pt>
                <c:pt idx="10">
                  <c:v>5871.065002472043</c:v>
                </c:pt>
                <c:pt idx="11">
                  <c:v>5871.065002472043</c:v>
                </c:pt>
                <c:pt idx="12">
                  <c:v>5871.065002472043</c:v>
                </c:pt>
                <c:pt idx="13">
                  <c:v>5871.065002472043</c:v>
                </c:pt>
                <c:pt idx="14">
                  <c:v>5871.065002472043</c:v>
                </c:pt>
                <c:pt idx="15">
                  <c:v>5788.373946099197</c:v>
                </c:pt>
                <c:pt idx="16">
                  <c:v>5622.991833353506</c:v>
                </c:pt>
                <c:pt idx="17">
                  <c:v>5457.609720607814</c:v>
                </c:pt>
                <c:pt idx="18">
                  <c:v>5292.227607862123</c:v>
                </c:pt>
                <c:pt idx="19">
                  <c:v>5126.845495116432</c:v>
                </c:pt>
                <c:pt idx="20">
                  <c:v>4961.463382370741</c:v>
                </c:pt>
                <c:pt idx="21">
                  <c:v>4796.08126962505</c:v>
                </c:pt>
                <c:pt idx="22">
                  <c:v>4630.699156879358</c:v>
                </c:pt>
                <c:pt idx="23">
                  <c:v>4465.317044133666</c:v>
                </c:pt>
                <c:pt idx="24">
                  <c:v>4299.934931387976</c:v>
                </c:pt>
                <c:pt idx="25">
                  <c:v>4134.552818642283</c:v>
                </c:pt>
                <c:pt idx="26">
                  <c:v>3969.170705896593</c:v>
                </c:pt>
                <c:pt idx="27">
                  <c:v>3803.788593150901</c:v>
                </c:pt>
                <c:pt idx="28">
                  <c:v>3638.40648040521</c:v>
                </c:pt>
                <c:pt idx="29">
                  <c:v>3473.024367659519</c:v>
                </c:pt>
                <c:pt idx="30">
                  <c:v>3307.642254913827</c:v>
                </c:pt>
                <c:pt idx="31">
                  <c:v>3142.260142168136</c:v>
                </c:pt>
                <c:pt idx="32">
                  <c:v>2976.878029422445</c:v>
                </c:pt>
                <c:pt idx="33">
                  <c:v>2811.495916676753</c:v>
                </c:pt>
                <c:pt idx="34">
                  <c:v>2646.113803931062</c:v>
                </c:pt>
                <c:pt idx="35">
                  <c:v>2480.73169118537</c:v>
                </c:pt>
                <c:pt idx="36">
                  <c:v>2315.34957843968</c:v>
                </c:pt>
                <c:pt idx="37">
                  <c:v>2149.967465693988</c:v>
                </c:pt>
                <c:pt idx="38">
                  <c:v>1984.585352948297</c:v>
                </c:pt>
                <c:pt idx="39">
                  <c:v>1819.203240202605</c:v>
                </c:pt>
                <c:pt idx="40">
                  <c:v>1653.821127456914</c:v>
                </c:pt>
                <c:pt idx="41">
                  <c:v>1488.439014711223</c:v>
                </c:pt>
                <c:pt idx="42">
                  <c:v>1323.056901965531</c:v>
                </c:pt>
                <c:pt idx="43">
                  <c:v>1157.67478921984</c:v>
                </c:pt>
                <c:pt idx="44">
                  <c:v>992.2926764741487</c:v>
                </c:pt>
                <c:pt idx="45">
                  <c:v>826.9105637284574</c:v>
                </c:pt>
                <c:pt idx="46">
                  <c:v>661.5284509827661</c:v>
                </c:pt>
                <c:pt idx="47">
                  <c:v>496.1463382370739</c:v>
                </c:pt>
                <c:pt idx="48">
                  <c:v>330.7642254913826</c:v>
                </c:pt>
                <c:pt idx="49">
                  <c:v>165.3821127456913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4049.010346532443</c:v>
                </c:pt>
                <c:pt idx="82">
                  <c:v>8098.020693064886</c:v>
                </c:pt>
                <c:pt idx="83">
                  <c:v>12147.03103959733</c:v>
                </c:pt>
                <c:pt idx="84">
                  <c:v>16196.04138612977</c:v>
                </c:pt>
                <c:pt idx="85">
                  <c:v>20245.05173266222</c:v>
                </c:pt>
                <c:pt idx="86">
                  <c:v>24294.06207919466</c:v>
                </c:pt>
                <c:pt idx="87">
                  <c:v>28343.0724257271</c:v>
                </c:pt>
                <c:pt idx="88">
                  <c:v>32392.08277225955</c:v>
                </c:pt>
                <c:pt idx="89">
                  <c:v>36441.09311879199</c:v>
                </c:pt>
                <c:pt idx="90">
                  <c:v>40490.10346532444</c:v>
                </c:pt>
                <c:pt idx="91">
                  <c:v>44539.11381185687</c:v>
                </c:pt>
                <c:pt idx="92">
                  <c:v>48588.12415838932</c:v>
                </c:pt>
                <c:pt idx="93">
                  <c:v>52637.13450492176</c:v>
                </c:pt>
                <c:pt idx="94">
                  <c:v>56686.1448514542</c:v>
                </c:pt>
                <c:pt idx="95">
                  <c:v>60046.50002472042</c:v>
                </c:pt>
                <c:pt idx="96">
                  <c:v>62718.20002472043</c:v>
                </c:pt>
                <c:pt idx="97">
                  <c:v>65389.90002472042</c:v>
                </c:pt>
                <c:pt idx="98">
                  <c:v>68061.60002472042</c:v>
                </c:pt>
                <c:pt idx="99">
                  <c:v>70733.30002472041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414.765</c:v>
                </c:pt>
                <c:pt idx="96">
                  <c:v>1244.295</c:v>
                </c:pt>
                <c:pt idx="97">
                  <c:v>2073.825</c:v>
                </c:pt>
                <c:pt idx="98">
                  <c:v>2903.355</c:v>
                </c:pt>
                <c:pt idx="99">
                  <c:v>3732.885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24218.14313519718</c:v>
                </c:pt>
                <c:pt idx="1">
                  <c:v>24218.14313519718</c:v>
                </c:pt>
                <c:pt idx="2">
                  <c:v>24218.14313519718</c:v>
                </c:pt>
                <c:pt idx="3">
                  <c:v>24218.14313519718</c:v>
                </c:pt>
                <c:pt idx="4">
                  <c:v>24218.14313519718</c:v>
                </c:pt>
                <c:pt idx="5">
                  <c:v>24218.14313519718</c:v>
                </c:pt>
                <c:pt idx="6">
                  <c:v>24218.14313519718</c:v>
                </c:pt>
                <c:pt idx="7">
                  <c:v>24218.14313519718</c:v>
                </c:pt>
                <c:pt idx="8">
                  <c:v>24218.14313519718</c:v>
                </c:pt>
                <c:pt idx="9">
                  <c:v>24218.14313519718</c:v>
                </c:pt>
                <c:pt idx="10">
                  <c:v>24218.14313519718</c:v>
                </c:pt>
                <c:pt idx="11">
                  <c:v>24218.14313519718</c:v>
                </c:pt>
                <c:pt idx="12">
                  <c:v>24218.14313519718</c:v>
                </c:pt>
                <c:pt idx="13">
                  <c:v>24218.14313519718</c:v>
                </c:pt>
                <c:pt idx="14">
                  <c:v>24218.14313519718</c:v>
                </c:pt>
                <c:pt idx="15">
                  <c:v>24579.91650682838</c:v>
                </c:pt>
                <c:pt idx="16">
                  <c:v>25303.46325009078</c:v>
                </c:pt>
                <c:pt idx="17">
                  <c:v>26027.00999335318</c:v>
                </c:pt>
                <c:pt idx="18">
                  <c:v>26750.55673661558</c:v>
                </c:pt>
                <c:pt idx="19">
                  <c:v>27474.10347987798</c:v>
                </c:pt>
                <c:pt idx="20">
                  <c:v>28197.65022314038</c:v>
                </c:pt>
                <c:pt idx="21">
                  <c:v>28921.19696640278</c:v>
                </c:pt>
                <c:pt idx="22">
                  <c:v>29644.74370966518</c:v>
                </c:pt>
                <c:pt idx="23">
                  <c:v>30368.29045292758</c:v>
                </c:pt>
                <c:pt idx="24">
                  <c:v>31091.83719618998</c:v>
                </c:pt>
                <c:pt idx="25">
                  <c:v>31815.38393945238</c:v>
                </c:pt>
                <c:pt idx="26">
                  <c:v>32538.93068271478</c:v>
                </c:pt>
                <c:pt idx="27">
                  <c:v>33262.47742597718</c:v>
                </c:pt>
                <c:pt idx="28">
                  <c:v>33986.02416923958</c:v>
                </c:pt>
                <c:pt idx="29">
                  <c:v>34709.57091250198</c:v>
                </c:pt>
                <c:pt idx="30">
                  <c:v>35433.11765576438</c:v>
                </c:pt>
                <c:pt idx="31">
                  <c:v>36156.66439902677</c:v>
                </c:pt>
                <c:pt idx="32">
                  <c:v>36880.21114228918</c:v>
                </c:pt>
                <c:pt idx="33">
                  <c:v>37603.75788555157</c:v>
                </c:pt>
                <c:pt idx="34">
                  <c:v>38327.30462881397</c:v>
                </c:pt>
                <c:pt idx="35">
                  <c:v>39050.85137207637</c:v>
                </c:pt>
                <c:pt idx="36">
                  <c:v>39774.39811533877</c:v>
                </c:pt>
                <c:pt idx="37">
                  <c:v>40497.94485860117</c:v>
                </c:pt>
                <c:pt idx="38">
                  <c:v>41221.49160186357</c:v>
                </c:pt>
                <c:pt idx="39">
                  <c:v>41945.03834512597</c:v>
                </c:pt>
                <c:pt idx="40">
                  <c:v>42668.58508838837</c:v>
                </c:pt>
                <c:pt idx="41">
                  <c:v>43392.13183165077</c:v>
                </c:pt>
                <c:pt idx="42">
                  <c:v>44115.67857491317</c:v>
                </c:pt>
                <c:pt idx="43">
                  <c:v>44839.22531817557</c:v>
                </c:pt>
                <c:pt idx="44">
                  <c:v>45562.77206143797</c:v>
                </c:pt>
                <c:pt idx="45">
                  <c:v>46286.31880470037</c:v>
                </c:pt>
                <c:pt idx="46">
                  <c:v>47009.86554796277</c:v>
                </c:pt>
                <c:pt idx="47">
                  <c:v>47733.41229122516</c:v>
                </c:pt>
                <c:pt idx="48">
                  <c:v>48456.95903448756</c:v>
                </c:pt>
                <c:pt idx="49">
                  <c:v>49180.50577774997</c:v>
                </c:pt>
                <c:pt idx="50">
                  <c:v>49904.05252101237</c:v>
                </c:pt>
                <c:pt idx="51">
                  <c:v>48729.83952051795</c:v>
                </c:pt>
                <c:pt idx="52">
                  <c:v>47555.62652002355</c:v>
                </c:pt>
                <c:pt idx="53">
                  <c:v>46381.41351952913</c:v>
                </c:pt>
                <c:pt idx="54">
                  <c:v>45207.20051903473</c:v>
                </c:pt>
                <c:pt idx="55">
                  <c:v>44032.98751854032</c:v>
                </c:pt>
                <c:pt idx="56">
                  <c:v>42858.77451804591</c:v>
                </c:pt>
                <c:pt idx="57">
                  <c:v>41684.5615175515</c:v>
                </c:pt>
                <c:pt idx="58">
                  <c:v>40510.3485170571</c:v>
                </c:pt>
                <c:pt idx="59">
                  <c:v>39336.13551656269</c:v>
                </c:pt>
                <c:pt idx="60">
                  <c:v>38161.92251606828</c:v>
                </c:pt>
                <c:pt idx="61">
                  <c:v>36987.70951557387</c:v>
                </c:pt>
                <c:pt idx="62">
                  <c:v>35813.49651507945</c:v>
                </c:pt>
                <c:pt idx="63">
                  <c:v>34639.28351458505</c:v>
                </c:pt>
                <c:pt idx="64">
                  <c:v>33465.07051409065</c:v>
                </c:pt>
                <c:pt idx="65">
                  <c:v>32290.85751359624</c:v>
                </c:pt>
                <c:pt idx="66">
                  <c:v>31116.64451310183</c:v>
                </c:pt>
                <c:pt idx="67">
                  <c:v>29942.43151260742</c:v>
                </c:pt>
                <c:pt idx="68">
                  <c:v>28768.21851211301</c:v>
                </c:pt>
                <c:pt idx="69">
                  <c:v>27594.0055116186</c:v>
                </c:pt>
                <c:pt idx="70">
                  <c:v>26419.7925111242</c:v>
                </c:pt>
                <c:pt idx="71">
                  <c:v>25245.57951062979</c:v>
                </c:pt>
                <c:pt idx="72">
                  <c:v>24071.36651013538</c:v>
                </c:pt>
                <c:pt idx="73">
                  <c:v>22897.15350964097</c:v>
                </c:pt>
                <c:pt idx="74">
                  <c:v>21722.94050914656</c:v>
                </c:pt>
                <c:pt idx="75">
                  <c:v>20548.72750865215</c:v>
                </c:pt>
                <c:pt idx="76">
                  <c:v>19374.51450815774</c:v>
                </c:pt>
                <c:pt idx="77">
                  <c:v>18200.30150766333</c:v>
                </c:pt>
                <c:pt idx="78">
                  <c:v>17026.08850716893</c:v>
                </c:pt>
                <c:pt idx="79">
                  <c:v>15851.87550667452</c:v>
                </c:pt>
                <c:pt idx="80">
                  <c:v>14677.66250618011</c:v>
                </c:pt>
                <c:pt idx="81">
                  <c:v>15082.56354083335</c:v>
                </c:pt>
                <c:pt idx="82">
                  <c:v>15487.46457548659</c:v>
                </c:pt>
                <c:pt idx="83">
                  <c:v>15892.36561013984</c:v>
                </c:pt>
                <c:pt idx="84">
                  <c:v>16297.26664479308</c:v>
                </c:pt>
                <c:pt idx="85">
                  <c:v>16702.16767944633</c:v>
                </c:pt>
                <c:pt idx="86">
                  <c:v>17107.06871409957</c:v>
                </c:pt>
                <c:pt idx="87">
                  <c:v>17511.96974875282</c:v>
                </c:pt>
                <c:pt idx="88">
                  <c:v>17916.87078340606</c:v>
                </c:pt>
                <c:pt idx="89">
                  <c:v>18321.7718180593</c:v>
                </c:pt>
                <c:pt idx="90">
                  <c:v>18726.67285271255</c:v>
                </c:pt>
                <c:pt idx="91">
                  <c:v>19131.57388736579</c:v>
                </c:pt>
                <c:pt idx="92">
                  <c:v>19536.47492201904</c:v>
                </c:pt>
                <c:pt idx="93">
                  <c:v>19941.37595667228</c:v>
                </c:pt>
                <c:pt idx="94">
                  <c:v>20346.27699132553</c:v>
                </c:pt>
                <c:pt idx="95">
                  <c:v>23650.47750865215</c:v>
                </c:pt>
                <c:pt idx="96">
                  <c:v>29853.97750865215</c:v>
                </c:pt>
                <c:pt idx="97">
                  <c:v>36057.47750865215</c:v>
                </c:pt>
                <c:pt idx="98">
                  <c:v>42260.97750865215</c:v>
                </c:pt>
                <c:pt idx="99">
                  <c:v>48464.47750865215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5743.606515712034</c:v>
                </c:pt>
                <c:pt idx="1">
                  <c:v>5743.606515712034</c:v>
                </c:pt>
                <c:pt idx="2">
                  <c:v>5743.606515712034</c:v>
                </c:pt>
                <c:pt idx="3">
                  <c:v>5743.606515712034</c:v>
                </c:pt>
                <c:pt idx="4">
                  <c:v>5743.606515712034</c:v>
                </c:pt>
                <c:pt idx="5">
                  <c:v>5743.606515712034</c:v>
                </c:pt>
                <c:pt idx="6">
                  <c:v>5743.606515712034</c:v>
                </c:pt>
                <c:pt idx="7">
                  <c:v>5743.606515712034</c:v>
                </c:pt>
                <c:pt idx="8">
                  <c:v>5743.606515712034</c:v>
                </c:pt>
                <c:pt idx="9">
                  <c:v>5743.606515712034</c:v>
                </c:pt>
                <c:pt idx="10">
                  <c:v>5743.606515712034</c:v>
                </c:pt>
                <c:pt idx="11">
                  <c:v>5743.606515712034</c:v>
                </c:pt>
                <c:pt idx="12">
                  <c:v>5743.606515712034</c:v>
                </c:pt>
                <c:pt idx="13">
                  <c:v>5743.606515712034</c:v>
                </c:pt>
                <c:pt idx="14">
                  <c:v>5743.606515712034</c:v>
                </c:pt>
                <c:pt idx="15">
                  <c:v>5747.539555988046</c:v>
                </c:pt>
                <c:pt idx="16">
                  <c:v>5755.405636540071</c:v>
                </c:pt>
                <c:pt idx="17">
                  <c:v>5763.271717092096</c:v>
                </c:pt>
                <c:pt idx="18">
                  <c:v>5771.137797644121</c:v>
                </c:pt>
                <c:pt idx="19">
                  <c:v>5779.003878196146</c:v>
                </c:pt>
                <c:pt idx="20">
                  <c:v>5786.869958748171</c:v>
                </c:pt>
                <c:pt idx="21">
                  <c:v>5794.736039300195</c:v>
                </c:pt>
                <c:pt idx="22">
                  <c:v>5802.60211985222</c:v>
                </c:pt>
                <c:pt idx="23">
                  <c:v>5810.468200404245</c:v>
                </c:pt>
                <c:pt idx="24">
                  <c:v>5818.33428095627</c:v>
                </c:pt>
                <c:pt idx="25">
                  <c:v>5826.200361508295</c:v>
                </c:pt>
                <c:pt idx="26">
                  <c:v>5834.06644206032</c:v>
                </c:pt>
                <c:pt idx="27">
                  <c:v>5841.932522612345</c:v>
                </c:pt>
                <c:pt idx="28">
                  <c:v>5849.79860316437</c:v>
                </c:pt>
                <c:pt idx="29">
                  <c:v>5857.664683716394</c:v>
                </c:pt>
                <c:pt idx="30">
                  <c:v>5865.53076426842</c:v>
                </c:pt>
                <c:pt idx="31">
                  <c:v>5873.396844820444</c:v>
                </c:pt>
                <c:pt idx="32">
                  <c:v>5881.26292537247</c:v>
                </c:pt>
                <c:pt idx="33">
                  <c:v>5889.129005924495</c:v>
                </c:pt>
                <c:pt idx="34">
                  <c:v>5896.99508647652</c:v>
                </c:pt>
                <c:pt idx="35">
                  <c:v>5904.861167028544</c:v>
                </c:pt>
                <c:pt idx="36">
                  <c:v>5912.72724758057</c:v>
                </c:pt>
                <c:pt idx="37">
                  <c:v>5920.593328132594</c:v>
                </c:pt>
                <c:pt idx="38">
                  <c:v>5928.45940868462</c:v>
                </c:pt>
                <c:pt idx="39">
                  <c:v>5936.325489236644</c:v>
                </c:pt>
                <c:pt idx="40">
                  <c:v>5944.191569788668</c:v>
                </c:pt>
                <c:pt idx="41">
                  <c:v>5952.057650340694</c:v>
                </c:pt>
                <c:pt idx="42">
                  <c:v>5959.923730892719</c:v>
                </c:pt>
                <c:pt idx="43">
                  <c:v>5967.789811444743</c:v>
                </c:pt>
                <c:pt idx="44">
                  <c:v>5975.655891996768</c:v>
                </c:pt>
                <c:pt idx="45">
                  <c:v>5983.521972548793</c:v>
                </c:pt>
                <c:pt idx="46">
                  <c:v>5991.388053100818</c:v>
                </c:pt>
                <c:pt idx="47">
                  <c:v>5999.254133652842</c:v>
                </c:pt>
                <c:pt idx="48">
                  <c:v>6007.120214204867</c:v>
                </c:pt>
                <c:pt idx="49">
                  <c:v>6014.986294756892</c:v>
                </c:pt>
                <c:pt idx="50">
                  <c:v>6022.852375308917</c:v>
                </c:pt>
                <c:pt idx="51">
                  <c:v>5983.158415036539</c:v>
                </c:pt>
                <c:pt idx="52">
                  <c:v>5943.46445476416</c:v>
                </c:pt>
                <c:pt idx="53">
                  <c:v>5903.77049449178</c:v>
                </c:pt>
                <c:pt idx="54">
                  <c:v>5864.076534219401</c:v>
                </c:pt>
                <c:pt idx="55">
                  <c:v>5824.382573947023</c:v>
                </c:pt>
                <c:pt idx="56">
                  <c:v>5784.688613674644</c:v>
                </c:pt>
                <c:pt idx="57">
                  <c:v>5744.994653402266</c:v>
                </c:pt>
                <c:pt idx="58">
                  <c:v>5705.300693129886</c:v>
                </c:pt>
                <c:pt idx="59">
                  <c:v>5665.606732857507</c:v>
                </c:pt>
                <c:pt idx="60">
                  <c:v>5625.912772585128</c:v>
                </c:pt>
                <c:pt idx="61">
                  <c:v>5586.21881231275</c:v>
                </c:pt>
                <c:pt idx="62">
                  <c:v>5546.524852040371</c:v>
                </c:pt>
                <c:pt idx="63">
                  <c:v>5506.830891767991</c:v>
                </c:pt>
                <c:pt idx="64">
                  <c:v>5467.136931495612</c:v>
                </c:pt>
                <c:pt idx="65">
                  <c:v>5427.442971223234</c:v>
                </c:pt>
                <c:pt idx="66">
                  <c:v>5387.749010950855</c:v>
                </c:pt>
                <c:pt idx="67">
                  <c:v>5348.055050678476</c:v>
                </c:pt>
                <c:pt idx="68">
                  <c:v>5308.361090406096</c:v>
                </c:pt>
                <c:pt idx="69">
                  <c:v>5268.667130133718</c:v>
                </c:pt>
                <c:pt idx="70">
                  <c:v>5228.97316986134</c:v>
                </c:pt>
                <c:pt idx="71">
                  <c:v>5189.27920958896</c:v>
                </c:pt>
                <c:pt idx="72">
                  <c:v>5149.585249316582</c:v>
                </c:pt>
                <c:pt idx="73">
                  <c:v>5109.891289044202</c:v>
                </c:pt>
                <c:pt idx="74">
                  <c:v>5070.197328771823</c:v>
                </c:pt>
                <c:pt idx="75">
                  <c:v>5030.503368499445</c:v>
                </c:pt>
                <c:pt idx="76">
                  <c:v>4990.809408227066</c:v>
                </c:pt>
                <c:pt idx="77">
                  <c:v>4951.115447954687</c:v>
                </c:pt>
                <c:pt idx="78">
                  <c:v>4911.421487682308</c:v>
                </c:pt>
                <c:pt idx="79">
                  <c:v>4871.72752740993</c:v>
                </c:pt>
                <c:pt idx="80">
                  <c:v>4832.033567137551</c:v>
                </c:pt>
                <c:pt idx="81">
                  <c:v>4602.574205327047</c:v>
                </c:pt>
                <c:pt idx="82">
                  <c:v>4373.114843516544</c:v>
                </c:pt>
                <c:pt idx="83">
                  <c:v>4143.65548170604</c:v>
                </c:pt>
                <c:pt idx="84">
                  <c:v>3914.196119895537</c:v>
                </c:pt>
                <c:pt idx="85">
                  <c:v>3684.736758085034</c:v>
                </c:pt>
                <c:pt idx="86">
                  <c:v>3455.27739627453</c:v>
                </c:pt>
                <c:pt idx="87">
                  <c:v>3225.818034464027</c:v>
                </c:pt>
                <c:pt idx="88">
                  <c:v>2996.358672653523</c:v>
                </c:pt>
                <c:pt idx="89">
                  <c:v>2766.89931084302</c:v>
                </c:pt>
                <c:pt idx="90">
                  <c:v>2537.439949032517</c:v>
                </c:pt>
                <c:pt idx="91">
                  <c:v>2307.980587222014</c:v>
                </c:pt>
                <c:pt idx="92">
                  <c:v>2078.52122541151</c:v>
                </c:pt>
                <c:pt idx="93">
                  <c:v>1849.061863601007</c:v>
                </c:pt>
                <c:pt idx="94">
                  <c:v>1619.602501790504</c:v>
                </c:pt>
                <c:pt idx="95">
                  <c:v>1512.237820885252</c:v>
                </c:pt>
                <c:pt idx="96">
                  <c:v>1526.967820885252</c:v>
                </c:pt>
                <c:pt idx="97">
                  <c:v>1541.697820885252</c:v>
                </c:pt>
                <c:pt idx="98">
                  <c:v>1556.427820885252</c:v>
                </c:pt>
                <c:pt idx="99">
                  <c:v>1571.157820885252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11008.24687963508</c:v>
                </c:pt>
                <c:pt idx="1">
                  <c:v>11008.24687963508</c:v>
                </c:pt>
                <c:pt idx="2">
                  <c:v>11008.24687963508</c:v>
                </c:pt>
                <c:pt idx="3">
                  <c:v>11008.24687963508</c:v>
                </c:pt>
                <c:pt idx="4">
                  <c:v>11008.24687963508</c:v>
                </c:pt>
                <c:pt idx="5">
                  <c:v>11008.24687963508</c:v>
                </c:pt>
                <c:pt idx="6">
                  <c:v>11008.24687963508</c:v>
                </c:pt>
                <c:pt idx="7">
                  <c:v>11008.24687963508</c:v>
                </c:pt>
                <c:pt idx="8">
                  <c:v>11008.24687963508</c:v>
                </c:pt>
                <c:pt idx="9">
                  <c:v>11008.24687963508</c:v>
                </c:pt>
                <c:pt idx="10">
                  <c:v>11008.24687963508</c:v>
                </c:pt>
                <c:pt idx="11">
                  <c:v>11008.24687963508</c:v>
                </c:pt>
                <c:pt idx="12">
                  <c:v>11008.24687963508</c:v>
                </c:pt>
                <c:pt idx="13">
                  <c:v>11008.24687963508</c:v>
                </c:pt>
                <c:pt idx="14">
                  <c:v>11008.24687963508</c:v>
                </c:pt>
                <c:pt idx="15">
                  <c:v>10853.201148936</c:v>
                </c:pt>
                <c:pt idx="16">
                  <c:v>10543.10968753782</c:v>
                </c:pt>
                <c:pt idx="17">
                  <c:v>10233.01822613965</c:v>
                </c:pt>
                <c:pt idx="18">
                  <c:v>9922.926764741481</c:v>
                </c:pt>
                <c:pt idx="19">
                  <c:v>9612.83530334331</c:v>
                </c:pt>
                <c:pt idx="20">
                  <c:v>9302.74384194514</c:v>
                </c:pt>
                <c:pt idx="21">
                  <c:v>8992.652380546967</c:v>
                </c:pt>
                <c:pt idx="22">
                  <c:v>8682.560919148797</c:v>
                </c:pt>
                <c:pt idx="23">
                  <c:v>8372.469457750625</c:v>
                </c:pt>
                <c:pt idx="24">
                  <c:v>8062.377996352454</c:v>
                </c:pt>
                <c:pt idx="25">
                  <c:v>7752.286534954282</c:v>
                </c:pt>
                <c:pt idx="26">
                  <c:v>7442.19507355611</c:v>
                </c:pt>
                <c:pt idx="27">
                  <c:v>7132.10361215794</c:v>
                </c:pt>
                <c:pt idx="28">
                  <c:v>6822.012150759768</c:v>
                </c:pt>
                <c:pt idx="29">
                  <c:v>6511.920689361597</c:v>
                </c:pt>
                <c:pt idx="30">
                  <c:v>6201.829227963426</c:v>
                </c:pt>
                <c:pt idx="31">
                  <c:v>5891.737766565256</c:v>
                </c:pt>
                <c:pt idx="32">
                  <c:v>5581.646305167084</c:v>
                </c:pt>
                <c:pt idx="33">
                  <c:v>5271.554843768913</c:v>
                </c:pt>
                <c:pt idx="34">
                  <c:v>4961.463382370742</c:v>
                </c:pt>
                <c:pt idx="35">
                  <c:v>4651.37192097257</c:v>
                </c:pt>
                <c:pt idx="36">
                  <c:v>4341.2804595744</c:v>
                </c:pt>
                <c:pt idx="37">
                  <c:v>4031.188998176228</c:v>
                </c:pt>
                <c:pt idx="38">
                  <c:v>3721.097536778056</c:v>
                </c:pt>
                <c:pt idx="39">
                  <c:v>3411.006075379885</c:v>
                </c:pt>
                <c:pt idx="40">
                  <c:v>3100.914613981714</c:v>
                </c:pt>
                <c:pt idx="41">
                  <c:v>2790.823152583541</c:v>
                </c:pt>
                <c:pt idx="42">
                  <c:v>2480.731691185372</c:v>
                </c:pt>
                <c:pt idx="43">
                  <c:v>2170.640229787199</c:v>
                </c:pt>
                <c:pt idx="44">
                  <c:v>1860.54876838903</c:v>
                </c:pt>
                <c:pt idx="45">
                  <c:v>1550.457306990857</c:v>
                </c:pt>
                <c:pt idx="46">
                  <c:v>1240.365845592687</c:v>
                </c:pt>
                <c:pt idx="47">
                  <c:v>930.274384194514</c:v>
                </c:pt>
                <c:pt idx="48">
                  <c:v>620.1829227963444</c:v>
                </c:pt>
                <c:pt idx="49">
                  <c:v>310.0914613981713</c:v>
                </c:pt>
                <c:pt idx="50">
                  <c:v>1.81898940354586E-12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49.5500314359163</c:v>
                </c:pt>
                <c:pt idx="16">
                  <c:v>148.6500943077486</c:v>
                </c:pt>
                <c:pt idx="17">
                  <c:v>247.7501571795808</c:v>
                </c:pt>
                <c:pt idx="18">
                  <c:v>346.850220051413</c:v>
                </c:pt>
                <c:pt idx="19">
                  <c:v>445.9502829232453</c:v>
                </c:pt>
                <c:pt idx="20">
                  <c:v>545.0503457950775</c:v>
                </c:pt>
                <c:pt idx="21">
                  <c:v>644.1504086669098</c:v>
                </c:pt>
                <c:pt idx="22">
                  <c:v>743.250471538742</c:v>
                </c:pt>
                <c:pt idx="23">
                  <c:v>842.3505344105743</c:v>
                </c:pt>
                <c:pt idx="24">
                  <c:v>941.4505972824065</c:v>
                </c:pt>
                <c:pt idx="25">
                  <c:v>1040.550660154239</c:v>
                </c:pt>
                <c:pt idx="26">
                  <c:v>1139.650723026071</c:v>
                </c:pt>
                <c:pt idx="27">
                  <c:v>1238.750785897903</c:v>
                </c:pt>
                <c:pt idx="28">
                  <c:v>1337.850848769736</c:v>
                </c:pt>
                <c:pt idx="29">
                  <c:v>1436.950911641568</c:v>
                </c:pt>
                <c:pt idx="30">
                  <c:v>1536.0509745134</c:v>
                </c:pt>
                <c:pt idx="31">
                  <c:v>1635.151037385232</c:v>
                </c:pt>
                <c:pt idx="32">
                  <c:v>1734.251100257064</c:v>
                </c:pt>
                <c:pt idx="33">
                  <c:v>1833.351163128897</c:v>
                </c:pt>
                <c:pt idx="34">
                  <c:v>1932.451226000729</c:v>
                </c:pt>
                <c:pt idx="35">
                  <c:v>2031.551288872561</c:v>
                </c:pt>
                <c:pt idx="36">
                  <c:v>2130.651351744393</c:v>
                </c:pt>
                <c:pt idx="37">
                  <c:v>2229.751414616226</c:v>
                </c:pt>
                <c:pt idx="38">
                  <c:v>2328.851477488058</c:v>
                </c:pt>
                <c:pt idx="39">
                  <c:v>2427.95154035989</c:v>
                </c:pt>
                <c:pt idx="40">
                  <c:v>2527.051603231722</c:v>
                </c:pt>
                <c:pt idx="41">
                  <c:v>2626.151666103555</c:v>
                </c:pt>
                <c:pt idx="42">
                  <c:v>2725.251728975387</c:v>
                </c:pt>
                <c:pt idx="43">
                  <c:v>2824.351791847218</c:v>
                </c:pt>
                <c:pt idx="44">
                  <c:v>2923.451854719051</c:v>
                </c:pt>
                <c:pt idx="45">
                  <c:v>3022.551917590883</c:v>
                </c:pt>
                <c:pt idx="46">
                  <c:v>3121.651980462716</c:v>
                </c:pt>
                <c:pt idx="47">
                  <c:v>3220.752043334548</c:v>
                </c:pt>
                <c:pt idx="48">
                  <c:v>3319.85210620638</c:v>
                </c:pt>
                <c:pt idx="49">
                  <c:v>3418.952169078213</c:v>
                </c:pt>
                <c:pt idx="50">
                  <c:v>3518.052231950045</c:v>
                </c:pt>
                <c:pt idx="51">
                  <c:v>3546.39555543048</c:v>
                </c:pt>
                <c:pt idx="52">
                  <c:v>3574.738878910917</c:v>
                </c:pt>
                <c:pt idx="53">
                  <c:v>3603.082202391353</c:v>
                </c:pt>
                <c:pt idx="54">
                  <c:v>3631.425525871789</c:v>
                </c:pt>
                <c:pt idx="55">
                  <c:v>3659.768849352225</c:v>
                </c:pt>
                <c:pt idx="56">
                  <c:v>3688.112172832661</c:v>
                </c:pt>
                <c:pt idx="57">
                  <c:v>3716.455496313097</c:v>
                </c:pt>
                <c:pt idx="58">
                  <c:v>3744.798819793533</c:v>
                </c:pt>
                <c:pt idx="59">
                  <c:v>3773.14214327397</c:v>
                </c:pt>
                <c:pt idx="60">
                  <c:v>3801.485466754405</c:v>
                </c:pt>
                <c:pt idx="61">
                  <c:v>3829.828790234842</c:v>
                </c:pt>
                <c:pt idx="62">
                  <c:v>3858.172113715278</c:v>
                </c:pt>
                <c:pt idx="63">
                  <c:v>3886.515437195714</c:v>
                </c:pt>
                <c:pt idx="64">
                  <c:v>3914.85876067615</c:v>
                </c:pt>
                <c:pt idx="65">
                  <c:v>3943.202084156585</c:v>
                </c:pt>
                <c:pt idx="66">
                  <c:v>3971.545407637022</c:v>
                </c:pt>
                <c:pt idx="67">
                  <c:v>3999.888731117458</c:v>
                </c:pt>
                <c:pt idx="68">
                  <c:v>4028.232054597894</c:v>
                </c:pt>
                <c:pt idx="69">
                  <c:v>4056.57537807833</c:v>
                </c:pt>
                <c:pt idx="70">
                  <c:v>4084.918701558766</c:v>
                </c:pt>
                <c:pt idx="71">
                  <c:v>4113.262025039201</c:v>
                </c:pt>
                <c:pt idx="72">
                  <c:v>4141.605348519638</c:v>
                </c:pt>
                <c:pt idx="73">
                  <c:v>4169.948672000074</c:v>
                </c:pt>
                <c:pt idx="74">
                  <c:v>4198.29199548051</c:v>
                </c:pt>
                <c:pt idx="75">
                  <c:v>4226.635318960946</c:v>
                </c:pt>
                <c:pt idx="76">
                  <c:v>4254.978642441382</c:v>
                </c:pt>
                <c:pt idx="77">
                  <c:v>4283.321965921818</c:v>
                </c:pt>
                <c:pt idx="78">
                  <c:v>4311.665289402254</c:v>
                </c:pt>
                <c:pt idx="79">
                  <c:v>4340.008612882691</c:v>
                </c:pt>
                <c:pt idx="80">
                  <c:v>4368.351936363126</c:v>
                </c:pt>
                <c:pt idx="81">
                  <c:v>4067.086285579463</c:v>
                </c:pt>
                <c:pt idx="82">
                  <c:v>3765.820634795799</c:v>
                </c:pt>
                <c:pt idx="83">
                  <c:v>3464.554984012135</c:v>
                </c:pt>
                <c:pt idx="84">
                  <c:v>3163.289333228471</c:v>
                </c:pt>
                <c:pt idx="85">
                  <c:v>2862.023682444807</c:v>
                </c:pt>
                <c:pt idx="86">
                  <c:v>2560.758031661143</c:v>
                </c:pt>
                <c:pt idx="87">
                  <c:v>2259.49238087748</c:v>
                </c:pt>
                <c:pt idx="88">
                  <c:v>1958.226730093816</c:v>
                </c:pt>
                <c:pt idx="89">
                  <c:v>1656.961079310152</c:v>
                </c:pt>
                <c:pt idx="90">
                  <c:v>1355.695428526488</c:v>
                </c:pt>
                <c:pt idx="91">
                  <c:v>1054.429777742824</c:v>
                </c:pt>
                <c:pt idx="92">
                  <c:v>753.16412695916</c:v>
                </c:pt>
                <c:pt idx="93">
                  <c:v>451.8984761754964</c:v>
                </c:pt>
                <c:pt idx="94">
                  <c:v>150.6328253918318</c:v>
                </c:pt>
                <c:pt idx="95">
                  <c:v>148.165</c:v>
                </c:pt>
                <c:pt idx="96">
                  <c:v>444.495</c:v>
                </c:pt>
                <c:pt idx="97">
                  <c:v>740.8249999999999</c:v>
                </c:pt>
                <c:pt idx="98">
                  <c:v>1037.155</c:v>
                </c:pt>
                <c:pt idx="99">
                  <c:v>1333.485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214920"/>
        <c:axId val="2092206072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47494.88785213397</c:v>
                </c:pt>
                <c:pt idx="1">
                  <c:v>47494.88785213397</c:v>
                </c:pt>
                <c:pt idx="2">
                  <c:v>47494.88785213397</c:v>
                </c:pt>
                <c:pt idx="3">
                  <c:v>47494.88785213397</c:v>
                </c:pt>
                <c:pt idx="4">
                  <c:v>47494.88785213397</c:v>
                </c:pt>
                <c:pt idx="5">
                  <c:v>47494.88785213397</c:v>
                </c:pt>
                <c:pt idx="6">
                  <c:v>47494.88785213397</c:v>
                </c:pt>
                <c:pt idx="7">
                  <c:v>47494.88785213397</c:v>
                </c:pt>
                <c:pt idx="8">
                  <c:v>47494.88785213397</c:v>
                </c:pt>
                <c:pt idx="9">
                  <c:v>47494.88785213397</c:v>
                </c:pt>
                <c:pt idx="10">
                  <c:v>47494.88785213397</c:v>
                </c:pt>
                <c:pt idx="11">
                  <c:v>47494.88785213397</c:v>
                </c:pt>
                <c:pt idx="12">
                  <c:v>47494.88785213397</c:v>
                </c:pt>
                <c:pt idx="13">
                  <c:v>47494.88785213397</c:v>
                </c:pt>
                <c:pt idx="14">
                  <c:v>47494.88785213397</c:v>
                </c:pt>
                <c:pt idx="15">
                  <c:v>47494.88785213397</c:v>
                </c:pt>
                <c:pt idx="16">
                  <c:v>47494.88785213397</c:v>
                </c:pt>
                <c:pt idx="17">
                  <c:v>47494.88785213397</c:v>
                </c:pt>
                <c:pt idx="18">
                  <c:v>47494.88785213397</c:v>
                </c:pt>
                <c:pt idx="19">
                  <c:v>47494.88785213397</c:v>
                </c:pt>
                <c:pt idx="20">
                  <c:v>47494.88785213397</c:v>
                </c:pt>
                <c:pt idx="21">
                  <c:v>47494.88785213397</c:v>
                </c:pt>
                <c:pt idx="22">
                  <c:v>47494.88785213397</c:v>
                </c:pt>
                <c:pt idx="23">
                  <c:v>47494.88785213397</c:v>
                </c:pt>
                <c:pt idx="24">
                  <c:v>47494.88785213397</c:v>
                </c:pt>
                <c:pt idx="25">
                  <c:v>47494.88785213397</c:v>
                </c:pt>
                <c:pt idx="26">
                  <c:v>47494.88785213397</c:v>
                </c:pt>
                <c:pt idx="27">
                  <c:v>47494.88785213397</c:v>
                </c:pt>
                <c:pt idx="28">
                  <c:v>47494.88785213397</c:v>
                </c:pt>
                <c:pt idx="29">
                  <c:v>47494.88785213397</c:v>
                </c:pt>
                <c:pt idx="30">
                  <c:v>47494.88785213397</c:v>
                </c:pt>
                <c:pt idx="31">
                  <c:v>47494.88785213397</c:v>
                </c:pt>
                <c:pt idx="32">
                  <c:v>47494.88785213397</c:v>
                </c:pt>
                <c:pt idx="33">
                  <c:v>47494.88785213397</c:v>
                </c:pt>
                <c:pt idx="34">
                  <c:v>47494.88785213397</c:v>
                </c:pt>
                <c:pt idx="35">
                  <c:v>47494.88785213397</c:v>
                </c:pt>
                <c:pt idx="36">
                  <c:v>47494.88785213397</c:v>
                </c:pt>
                <c:pt idx="37">
                  <c:v>47494.88785213397</c:v>
                </c:pt>
                <c:pt idx="38">
                  <c:v>47494.88785213397</c:v>
                </c:pt>
                <c:pt idx="39">
                  <c:v>47494.88785213397</c:v>
                </c:pt>
                <c:pt idx="40">
                  <c:v>47494.88785213397</c:v>
                </c:pt>
                <c:pt idx="41">
                  <c:v>47494.88785213397</c:v>
                </c:pt>
                <c:pt idx="42">
                  <c:v>47494.88785213397</c:v>
                </c:pt>
                <c:pt idx="43">
                  <c:v>47494.88785213397</c:v>
                </c:pt>
                <c:pt idx="44">
                  <c:v>47494.88785213397</c:v>
                </c:pt>
                <c:pt idx="45">
                  <c:v>47494.88785213397</c:v>
                </c:pt>
                <c:pt idx="46">
                  <c:v>47494.88785213397</c:v>
                </c:pt>
                <c:pt idx="47">
                  <c:v>47494.88785213397</c:v>
                </c:pt>
                <c:pt idx="48">
                  <c:v>47494.88785213397</c:v>
                </c:pt>
                <c:pt idx="49">
                  <c:v>47494.88785213397</c:v>
                </c:pt>
                <c:pt idx="50">
                  <c:v>47494.88785213397</c:v>
                </c:pt>
                <c:pt idx="51">
                  <c:v>47494.88785213397</c:v>
                </c:pt>
                <c:pt idx="52">
                  <c:v>47494.88785213397</c:v>
                </c:pt>
                <c:pt idx="53">
                  <c:v>47494.88785213397</c:v>
                </c:pt>
                <c:pt idx="54">
                  <c:v>47494.88785213397</c:v>
                </c:pt>
                <c:pt idx="55">
                  <c:v>47494.88785213397</c:v>
                </c:pt>
                <c:pt idx="56">
                  <c:v>47494.88785213397</c:v>
                </c:pt>
                <c:pt idx="57">
                  <c:v>47494.88785213397</c:v>
                </c:pt>
                <c:pt idx="58">
                  <c:v>47494.88785213397</c:v>
                </c:pt>
                <c:pt idx="59">
                  <c:v>47494.88785213397</c:v>
                </c:pt>
                <c:pt idx="60">
                  <c:v>47494.88785213397</c:v>
                </c:pt>
                <c:pt idx="61">
                  <c:v>47494.88785213397</c:v>
                </c:pt>
                <c:pt idx="62">
                  <c:v>47494.88785213397</c:v>
                </c:pt>
                <c:pt idx="63">
                  <c:v>47494.88785213397</c:v>
                </c:pt>
                <c:pt idx="64">
                  <c:v>47494.88785213397</c:v>
                </c:pt>
                <c:pt idx="65">
                  <c:v>47494.88785213397</c:v>
                </c:pt>
                <c:pt idx="66">
                  <c:v>47494.88785213397</c:v>
                </c:pt>
                <c:pt idx="67">
                  <c:v>47494.88785213397</c:v>
                </c:pt>
                <c:pt idx="68">
                  <c:v>47494.88785213397</c:v>
                </c:pt>
                <c:pt idx="69">
                  <c:v>47494.88785213397</c:v>
                </c:pt>
                <c:pt idx="70">
                  <c:v>47494.88785213397</c:v>
                </c:pt>
                <c:pt idx="71">
                  <c:v>47494.88785213397</c:v>
                </c:pt>
                <c:pt idx="72">
                  <c:v>47494.88785213397</c:v>
                </c:pt>
                <c:pt idx="73">
                  <c:v>47494.88785213397</c:v>
                </c:pt>
                <c:pt idx="74">
                  <c:v>47494.88785213397</c:v>
                </c:pt>
                <c:pt idx="75">
                  <c:v>47494.88785213397</c:v>
                </c:pt>
                <c:pt idx="76">
                  <c:v>47494.88785213397</c:v>
                </c:pt>
                <c:pt idx="77">
                  <c:v>47494.88785213397</c:v>
                </c:pt>
                <c:pt idx="78">
                  <c:v>47494.88785213397</c:v>
                </c:pt>
                <c:pt idx="79">
                  <c:v>47494.88785213397</c:v>
                </c:pt>
                <c:pt idx="80">
                  <c:v>47494.88785213397</c:v>
                </c:pt>
                <c:pt idx="81">
                  <c:v>47494.88785213397</c:v>
                </c:pt>
                <c:pt idx="82">
                  <c:v>47494.88785213397</c:v>
                </c:pt>
                <c:pt idx="83">
                  <c:v>47494.88785213397</c:v>
                </c:pt>
                <c:pt idx="84">
                  <c:v>47494.88785213397</c:v>
                </c:pt>
                <c:pt idx="85">
                  <c:v>47494.88785213397</c:v>
                </c:pt>
                <c:pt idx="86">
                  <c:v>47494.88785213397</c:v>
                </c:pt>
                <c:pt idx="87">
                  <c:v>47494.88785213397</c:v>
                </c:pt>
                <c:pt idx="88">
                  <c:v>47494.88785213397</c:v>
                </c:pt>
                <c:pt idx="89">
                  <c:v>47494.88785213397</c:v>
                </c:pt>
                <c:pt idx="90">
                  <c:v>47494.88785213397</c:v>
                </c:pt>
                <c:pt idx="91">
                  <c:v>47494.88785213397</c:v>
                </c:pt>
                <c:pt idx="92">
                  <c:v>47494.88785213397</c:v>
                </c:pt>
                <c:pt idx="93">
                  <c:v>47494.88785213397</c:v>
                </c:pt>
                <c:pt idx="94">
                  <c:v>47494.88785213397</c:v>
                </c:pt>
                <c:pt idx="95">
                  <c:v>47494.88785213397</c:v>
                </c:pt>
                <c:pt idx="96">
                  <c:v>47494.88785213397</c:v>
                </c:pt>
                <c:pt idx="97">
                  <c:v>47494.88785213397</c:v>
                </c:pt>
                <c:pt idx="98">
                  <c:v>47494.88785213397</c:v>
                </c:pt>
                <c:pt idx="99">
                  <c:v>47494.88785213397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61075.43388001827</c:v>
                </c:pt>
                <c:pt idx="1">
                  <c:v>60735.17388001827</c:v>
                </c:pt>
                <c:pt idx="2">
                  <c:v>60394.91388001828</c:v>
                </c:pt>
                <c:pt idx="3">
                  <c:v>60054.65388001827</c:v>
                </c:pt>
                <c:pt idx="4">
                  <c:v>59714.39388001827</c:v>
                </c:pt>
                <c:pt idx="5">
                  <c:v>59374.13388001827</c:v>
                </c:pt>
                <c:pt idx="6">
                  <c:v>59033.87388001827</c:v>
                </c:pt>
                <c:pt idx="7">
                  <c:v>58693.61388001827</c:v>
                </c:pt>
                <c:pt idx="8">
                  <c:v>58353.35388001827</c:v>
                </c:pt>
                <c:pt idx="9">
                  <c:v>58013.09388001827</c:v>
                </c:pt>
                <c:pt idx="10">
                  <c:v>57672.83388001828</c:v>
                </c:pt>
                <c:pt idx="11">
                  <c:v>57332.57388001827</c:v>
                </c:pt>
                <c:pt idx="12">
                  <c:v>56992.31388001827</c:v>
                </c:pt>
                <c:pt idx="13">
                  <c:v>56652.05388001827</c:v>
                </c:pt>
                <c:pt idx="14">
                  <c:v>56311.79388001827</c:v>
                </c:pt>
                <c:pt idx="15">
                  <c:v>56396.27379956206</c:v>
                </c:pt>
                <c:pt idx="16">
                  <c:v>56905.49363864965</c:v>
                </c:pt>
                <c:pt idx="17">
                  <c:v>57414.71347773723</c:v>
                </c:pt>
                <c:pt idx="18">
                  <c:v>57923.9333168248</c:v>
                </c:pt>
                <c:pt idx="19">
                  <c:v>58433.15315591238</c:v>
                </c:pt>
                <c:pt idx="20">
                  <c:v>58942.37299499996</c:v>
                </c:pt>
                <c:pt idx="21">
                  <c:v>59451.59283408754</c:v>
                </c:pt>
                <c:pt idx="22">
                  <c:v>59960.81267317511</c:v>
                </c:pt>
                <c:pt idx="23">
                  <c:v>60470.0325122627</c:v>
                </c:pt>
                <c:pt idx="24">
                  <c:v>60979.25235135027</c:v>
                </c:pt>
                <c:pt idx="25">
                  <c:v>61488.47219043785</c:v>
                </c:pt>
                <c:pt idx="26">
                  <c:v>61997.69202952544</c:v>
                </c:pt>
                <c:pt idx="27">
                  <c:v>62506.91186861302</c:v>
                </c:pt>
                <c:pt idx="28">
                  <c:v>63016.13170770059</c:v>
                </c:pt>
                <c:pt idx="29">
                  <c:v>63525.35154678817</c:v>
                </c:pt>
                <c:pt idx="30">
                  <c:v>64034.57138587575</c:v>
                </c:pt>
                <c:pt idx="31">
                  <c:v>64543.79122496333</c:v>
                </c:pt>
                <c:pt idx="32">
                  <c:v>65053.01106405092</c:v>
                </c:pt>
                <c:pt idx="33">
                  <c:v>65562.23090313849</c:v>
                </c:pt>
                <c:pt idx="34">
                  <c:v>66071.45074222606</c:v>
                </c:pt>
                <c:pt idx="35">
                  <c:v>66580.67058131365</c:v>
                </c:pt>
                <c:pt idx="36">
                  <c:v>67089.8904204012</c:v>
                </c:pt>
                <c:pt idx="37">
                  <c:v>67599.1102594888</c:v>
                </c:pt>
                <c:pt idx="38">
                  <c:v>68108.3300985764</c:v>
                </c:pt>
                <c:pt idx="39">
                  <c:v>68617.54993766396</c:v>
                </c:pt>
                <c:pt idx="40">
                  <c:v>69126.76977675154</c:v>
                </c:pt>
                <c:pt idx="41">
                  <c:v>69635.98961583912</c:v>
                </c:pt>
                <c:pt idx="42">
                  <c:v>70145.2094549267</c:v>
                </c:pt>
                <c:pt idx="43">
                  <c:v>70654.42929401427</c:v>
                </c:pt>
                <c:pt idx="44">
                  <c:v>71163.64913310186</c:v>
                </c:pt>
                <c:pt idx="45">
                  <c:v>71672.86897218945</c:v>
                </c:pt>
                <c:pt idx="46">
                  <c:v>72182.08881127703</c:v>
                </c:pt>
                <c:pt idx="47">
                  <c:v>72691.3086503646</c:v>
                </c:pt>
                <c:pt idx="48">
                  <c:v>73200.5284894522</c:v>
                </c:pt>
                <c:pt idx="49">
                  <c:v>73709.74832853976</c:v>
                </c:pt>
                <c:pt idx="50">
                  <c:v>74218.96816762734</c:v>
                </c:pt>
                <c:pt idx="51">
                  <c:v>79497.3657322771</c:v>
                </c:pt>
                <c:pt idx="52">
                  <c:v>84775.76329692686</c:v>
                </c:pt>
                <c:pt idx="53">
                  <c:v>90054.16086157663</c:v>
                </c:pt>
                <c:pt idx="54">
                  <c:v>95332.55842622641</c:v>
                </c:pt>
                <c:pt idx="55">
                  <c:v>100610.9559908762</c:v>
                </c:pt>
                <c:pt idx="56">
                  <c:v>105889.3535555259</c:v>
                </c:pt>
                <c:pt idx="57">
                  <c:v>111167.7511201757</c:v>
                </c:pt>
                <c:pt idx="58">
                  <c:v>116446.1486848255</c:v>
                </c:pt>
                <c:pt idx="59">
                  <c:v>121724.5462494752</c:v>
                </c:pt>
                <c:pt idx="60">
                  <c:v>127002.943814125</c:v>
                </c:pt>
                <c:pt idx="61">
                  <c:v>132281.3413787748</c:v>
                </c:pt>
                <c:pt idx="62">
                  <c:v>137559.7389434245</c:v>
                </c:pt>
                <c:pt idx="63">
                  <c:v>142838.1365080743</c:v>
                </c:pt>
                <c:pt idx="64">
                  <c:v>148116.5340727241</c:v>
                </c:pt>
                <c:pt idx="65">
                  <c:v>153394.9316373738</c:v>
                </c:pt>
                <c:pt idx="66">
                  <c:v>158673.3292020236</c:v>
                </c:pt>
                <c:pt idx="67">
                  <c:v>163951.7267666733</c:v>
                </c:pt>
                <c:pt idx="68">
                  <c:v>169230.1243313231</c:v>
                </c:pt>
                <c:pt idx="69">
                  <c:v>174508.5218959729</c:v>
                </c:pt>
                <c:pt idx="70">
                  <c:v>179786.9194606227</c:v>
                </c:pt>
                <c:pt idx="71">
                  <c:v>185065.3170252724</c:v>
                </c:pt>
                <c:pt idx="72">
                  <c:v>190343.7145899222</c:v>
                </c:pt>
                <c:pt idx="73">
                  <c:v>195622.112154572</c:v>
                </c:pt>
                <c:pt idx="74">
                  <c:v>200900.5097192217</c:v>
                </c:pt>
                <c:pt idx="75">
                  <c:v>206178.9072838715</c:v>
                </c:pt>
                <c:pt idx="76">
                  <c:v>211457.3048485212</c:v>
                </c:pt>
                <c:pt idx="77">
                  <c:v>216735.702413171</c:v>
                </c:pt>
                <c:pt idx="78">
                  <c:v>222014.0999778208</c:v>
                </c:pt>
                <c:pt idx="79">
                  <c:v>227292.4975424705</c:v>
                </c:pt>
                <c:pt idx="80">
                  <c:v>232570.8951071203</c:v>
                </c:pt>
                <c:pt idx="81">
                  <c:v>252333.0610540489</c:v>
                </c:pt>
                <c:pt idx="82">
                  <c:v>272095.2270009774</c:v>
                </c:pt>
                <c:pt idx="83">
                  <c:v>291857.3929479059</c:v>
                </c:pt>
                <c:pt idx="84">
                  <c:v>311619.5588948345</c:v>
                </c:pt>
                <c:pt idx="85">
                  <c:v>331381.724841763</c:v>
                </c:pt>
                <c:pt idx="86">
                  <c:v>351143.8907886915</c:v>
                </c:pt>
                <c:pt idx="87">
                  <c:v>370906.05673562</c:v>
                </c:pt>
                <c:pt idx="88">
                  <c:v>390668.2226825485</c:v>
                </c:pt>
                <c:pt idx="89">
                  <c:v>410430.3886294771</c:v>
                </c:pt>
                <c:pt idx="90">
                  <c:v>430192.5545764056</c:v>
                </c:pt>
                <c:pt idx="91">
                  <c:v>449954.7205233342</c:v>
                </c:pt>
                <c:pt idx="92">
                  <c:v>469716.8864702627</c:v>
                </c:pt>
                <c:pt idx="93">
                  <c:v>489479.0524171912</c:v>
                </c:pt>
                <c:pt idx="94">
                  <c:v>509241.2183641198</c:v>
                </c:pt>
                <c:pt idx="95">
                  <c:v>524576.116837584</c:v>
                </c:pt>
                <c:pt idx="96">
                  <c:v>535483.747837584</c:v>
                </c:pt>
                <c:pt idx="97">
                  <c:v>546391.378837584</c:v>
                </c:pt>
                <c:pt idx="98">
                  <c:v>557299.009837584</c:v>
                </c:pt>
                <c:pt idx="99">
                  <c:v>568206.640837584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214920"/>
        <c:axId val="2092206072"/>
      </c:lineChart>
      <c:catAx>
        <c:axId val="2092214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220607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9220607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2214920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0.0857857331880448</c:v>
                </c:pt>
                <c:pt idx="1">
                  <c:v>0.017157146637609</c:v>
                </c:pt>
                <c:pt idx="2" formatCode="0.0%">
                  <c:v>0.017157146637609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0.005</c:v>
                </c:pt>
                <c:pt idx="1">
                  <c:v>0.000999999999999999</c:v>
                </c:pt>
                <c:pt idx="2" formatCode="0.0%">
                  <c:v>0.000999999999999999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0.0283897882938979</c:v>
                </c:pt>
                <c:pt idx="1">
                  <c:v>0.00851693648816936</c:v>
                </c:pt>
                <c:pt idx="2" formatCode="0.0%">
                  <c:v>0.00851693648816936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0.0167915185554172</c:v>
                </c:pt>
                <c:pt idx="1">
                  <c:v>0.00335830371108344</c:v>
                </c:pt>
                <c:pt idx="2" formatCode="0.0%">
                  <c:v>0.00335830371108344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0.0022027397260274</c:v>
                </c:pt>
                <c:pt idx="1">
                  <c:v>0.000440547945205479</c:v>
                </c:pt>
                <c:pt idx="2" formatCode="0.0%">
                  <c:v>0.000494936226122687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0.00961083437110834</c:v>
                </c:pt>
                <c:pt idx="1">
                  <c:v>0.00192216687422167</c:v>
                </c:pt>
                <c:pt idx="2" formatCode="0.0%">
                  <c:v>0.00192216687422167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0.00285579078455791</c:v>
                </c:pt>
                <c:pt idx="1">
                  <c:v>0.000571158156911581</c:v>
                </c:pt>
                <c:pt idx="2" formatCode="0.0%">
                  <c:v>0.000571158156911581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0.00200846824408468</c:v>
                </c:pt>
                <c:pt idx="1">
                  <c:v>0.000401693648816936</c:v>
                </c:pt>
                <c:pt idx="2" formatCode="0.0%">
                  <c:v>0.000401693648816936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0.0476190476190476</c:v>
                </c:pt>
                <c:pt idx="1">
                  <c:v>0.0476190476190476</c:v>
                </c:pt>
                <c:pt idx="2" formatCode="0.0%">
                  <c:v>0.0476190476190476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0.0592043760896637</c:v>
                </c:pt>
                <c:pt idx="1">
                  <c:v>0.0592043760896637</c:v>
                </c:pt>
                <c:pt idx="2" formatCode="0.0%">
                  <c:v>0.0575801239517743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0.409223358784558</c:v>
                </c:pt>
                <c:pt idx="1">
                  <c:v>0.409223358784558</c:v>
                </c:pt>
                <c:pt idx="2" formatCode="0.0%">
                  <c:v>0.404168417517998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0.856672462266501</c:v>
                </c:pt>
                <c:pt idx="1">
                  <c:v>0.328870625290986</c:v>
                </c:pt>
                <c:pt idx="2" formatCode="0.0%">
                  <c:v>0.457210069168246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5572296"/>
        <c:axId val="2115558264"/>
      </c:barChart>
      <c:catAx>
        <c:axId val="2115572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5558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5558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55722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0.005</c:v>
                </c:pt>
                <c:pt idx="1">
                  <c:v>0.000999999999999999</c:v>
                </c:pt>
                <c:pt idx="2" formatCode="0.0%">
                  <c:v>0.000999999999999999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0.029572696139477</c:v>
                </c:pt>
                <c:pt idx="1">
                  <c:v>0.00887180884184309</c:v>
                </c:pt>
                <c:pt idx="2" formatCode="0.0%">
                  <c:v>0.00887180884184309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0.0110470516811955</c:v>
                </c:pt>
                <c:pt idx="1">
                  <c:v>0.0022094103362391</c:v>
                </c:pt>
                <c:pt idx="2" formatCode="0.0%">
                  <c:v>0.0022094103362391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0.00573630136986301</c:v>
                </c:pt>
                <c:pt idx="1">
                  <c:v>0.0011472602739726</c:v>
                </c:pt>
                <c:pt idx="2" formatCode="0.0%">
                  <c:v>0.0011472602739726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0.00245174346201743</c:v>
                </c:pt>
                <c:pt idx="1">
                  <c:v>0.000490348692403487</c:v>
                </c:pt>
                <c:pt idx="2" formatCode="0.0%">
                  <c:v>0.000490348692403487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0.0037266500622665</c:v>
                </c:pt>
                <c:pt idx="1">
                  <c:v>0.0007453300124533</c:v>
                </c:pt>
                <c:pt idx="2" formatCode="0.0%">
                  <c:v>0.0007453300124533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0.00508359900373599</c:v>
                </c:pt>
                <c:pt idx="1">
                  <c:v>0.0010167198007472</c:v>
                </c:pt>
                <c:pt idx="2" formatCode="0.0%">
                  <c:v>0.0010167198007472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0.000470734744707347</c:v>
                </c:pt>
                <c:pt idx="1">
                  <c:v>9.41469489414695E-5</c:v>
                </c:pt>
                <c:pt idx="2" formatCode="0.0%">
                  <c:v>9.41469489414695E-5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0.00343897882938979</c:v>
                </c:pt>
                <c:pt idx="1">
                  <c:v>0.00343897882938979</c:v>
                </c:pt>
                <c:pt idx="2" formatCode="0.0%">
                  <c:v>0.00429872353673723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0.181746303329388</c:v>
                </c:pt>
                <c:pt idx="1">
                  <c:v>0.181746303329388</c:v>
                </c:pt>
                <c:pt idx="2" formatCode="0.0%">
                  <c:v>0.181746303329388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0.220163829545455</c:v>
                </c:pt>
                <c:pt idx="1">
                  <c:v>0.220163829545455</c:v>
                </c:pt>
                <c:pt idx="2" formatCode="0.0%">
                  <c:v>0.224969549369554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0.582658655043587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5277176"/>
        <c:axId val="2115272760"/>
      </c:barChart>
      <c:catAx>
        <c:axId val="2115277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5272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5272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52771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0.00275606016500623</c:v>
                </c:pt>
                <c:pt idx="1">
                  <c:v>0.00275606016500623</c:v>
                </c:pt>
                <c:pt idx="2">
                  <c:v>0.00534999914383562</c:v>
                </c:pt>
                <c:pt idx="3">
                  <c:v>0.00534999914383562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0.006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0.0347774906600249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0.000517808219178082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0.0103842285803238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0.0256986301369863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0.00768768679950187</c:v>
                </c:pt>
                <c:pt idx="3">
                  <c:v>0.00378647260273972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0.029813200498132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0.00512577833125778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0.001270899750934</c:v>
                </c:pt>
                <c:pt idx="1">
                  <c:v>0.001270899750934</c:v>
                </c:pt>
                <c:pt idx="2">
                  <c:v>0.001270899750934</c:v>
                </c:pt>
                <c:pt idx="3">
                  <c:v>0.001270899750934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0.000753175591531756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0.0154924408468244</c:v>
                </c:pt>
                <c:pt idx="1">
                  <c:v>0.00929757160647571</c:v>
                </c:pt>
                <c:pt idx="2">
                  <c:v>0.0123950062266501</c:v>
                </c:pt>
                <c:pt idx="3">
                  <c:v>0.0154924408468244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0.224969549369554</c:v>
                </c:pt>
                <c:pt idx="1">
                  <c:v>0.224969549369554</c:v>
                </c:pt>
                <c:pt idx="2">
                  <c:v>0.224969549369554</c:v>
                </c:pt>
                <c:pt idx="3">
                  <c:v>0.224969549369554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0.27615524886741</c:v>
                </c:pt>
                <c:pt idx="1">
                  <c:v>-0.0920517496224699</c:v>
                </c:pt>
                <c:pt idx="2">
                  <c:v>-0.0920517496224699</c:v>
                </c:pt>
                <c:pt idx="3">
                  <c:v>-0.0920517496224699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5117288"/>
        <c:axId val="2115109752"/>
      </c:barChart>
      <c:catAx>
        <c:axId val="211511728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10975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15109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1172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0.004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0.0354872353673723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0.00883764134495641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0.00458904109589041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0.00131413449564134</c:v>
                </c:pt>
                <c:pt idx="3">
                  <c:v>0.000647260273972603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0.0029813200498132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0.0010167198007472</c:v>
                </c:pt>
                <c:pt idx="1">
                  <c:v>0.0010167198007472</c:v>
                </c:pt>
                <c:pt idx="2">
                  <c:v>0.0010167198007472</c:v>
                </c:pt>
                <c:pt idx="3">
                  <c:v>0.0010167198007472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0.224969549369554</c:v>
                </c:pt>
                <c:pt idx="1">
                  <c:v>0.224969549369554</c:v>
                </c:pt>
                <c:pt idx="2">
                  <c:v>0.224969549369554</c:v>
                </c:pt>
                <c:pt idx="3">
                  <c:v>0.224969549369554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-0.249113423751044</c:v>
                </c:pt>
                <c:pt idx="1">
                  <c:v>-0.249113423751044</c:v>
                </c:pt>
                <c:pt idx="2">
                  <c:v>-0.249113423751044</c:v>
                </c:pt>
                <c:pt idx="3">
                  <c:v>-0.249113423751044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2359928"/>
        <c:axId val="2092941064"/>
      </c:barChart>
      <c:catAx>
        <c:axId val="209235992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294106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92941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23599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0.0031497830457214</c:v>
                </c:pt>
                <c:pt idx="1">
                  <c:v>0.0031497830457214</c:v>
                </c:pt>
                <c:pt idx="2">
                  <c:v>0.00611428473581213</c:v>
                </c:pt>
                <c:pt idx="3">
                  <c:v>0.00611428473581213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0.00466666666666667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0.0251262052682824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0.0172642574699822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0.0135871583490778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0.00367957658779577</c:v>
                </c:pt>
                <c:pt idx="3">
                  <c:v>0.00181232876712329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0.0059626400996264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0.00315477247168522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0.00114769613947696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0.274206910220095</c:v>
                </c:pt>
                <c:pt idx="1">
                  <c:v>0.274206910220095</c:v>
                </c:pt>
                <c:pt idx="2">
                  <c:v>0.274206910220095</c:v>
                </c:pt>
                <c:pt idx="3">
                  <c:v>0.274206910220095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0.470596436661638</c:v>
                </c:pt>
                <c:pt idx="1">
                  <c:v>0.529381925376922</c:v>
                </c:pt>
                <c:pt idx="2">
                  <c:v>0.525892619570721</c:v>
                </c:pt>
                <c:pt idx="3">
                  <c:v>0.521945504585249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2757256"/>
        <c:axId val="2092537288"/>
      </c:barChart>
      <c:catAx>
        <c:axId val="209275725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253728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92537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27572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0.0116668597135741</c:v>
                </c:pt>
                <c:pt idx="1">
                  <c:v>0.0116668597135741</c:v>
                </c:pt>
                <c:pt idx="2">
                  <c:v>0.0226474335616438</c:v>
                </c:pt>
                <c:pt idx="3">
                  <c:v>0.0226474335616438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0.004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0.0340677459526775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0.0134332148443337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0.00197974490449075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0.00515140722291407</c:v>
                </c:pt>
                <c:pt idx="3">
                  <c:v>0.0025372602739726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0.00228463262764633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0.00160677459526775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0.404168417517998</c:v>
                </c:pt>
                <c:pt idx="1">
                  <c:v>0.404168417517998</c:v>
                </c:pt>
                <c:pt idx="2">
                  <c:v>0.404168417517998</c:v>
                </c:pt>
                <c:pt idx="3">
                  <c:v>0.404168417517998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0.429484845496104</c:v>
                </c:pt>
                <c:pt idx="1">
                  <c:v>0.47668091856996</c:v>
                </c:pt>
                <c:pt idx="2">
                  <c:v>0.462833570126623</c:v>
                </c:pt>
                <c:pt idx="3">
                  <c:v>0.459840942480296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4779192"/>
        <c:axId val="2083218040"/>
      </c:barChart>
      <c:catAx>
        <c:axId val="-209477919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321804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83218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47791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0.0940269387179427</c:v>
                </c:pt>
                <c:pt idx="1">
                  <c:v>0.0554758938435862</c:v>
                </c:pt>
                <c:pt idx="2">
                  <c:v>0.0554758938435862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0.0141040408076914</c:v>
                </c:pt>
                <c:pt idx="1">
                  <c:v>0.00832138407653793</c:v>
                </c:pt>
                <c:pt idx="2">
                  <c:v>0.00832138407653793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Chicken/ duck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0.00585317693519193</c:v>
                </c:pt>
                <c:pt idx="1">
                  <c:v>0.00690674878352648</c:v>
                </c:pt>
                <c:pt idx="2">
                  <c:v>0.00690674878352648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0.00470134693589713</c:v>
                </c:pt>
                <c:pt idx="1">
                  <c:v>0.0013163771420512</c:v>
                </c:pt>
                <c:pt idx="2">
                  <c:v>0.00309348628382031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0.0154674314191016</c:v>
                </c:pt>
                <c:pt idx="1">
                  <c:v>0.00433088079734844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0.0070520204038457</c:v>
                </c:pt>
                <c:pt idx="1">
                  <c:v>0.0019745657130768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0.013163771420512</c:v>
                </c:pt>
                <c:pt idx="1">
                  <c:v>0.00368585599774335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0.00317340918173056</c:v>
                </c:pt>
                <c:pt idx="1">
                  <c:v>0.000888554570884558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0.00112832326461531</c:v>
                </c:pt>
                <c:pt idx="1">
                  <c:v>0.000315930514092287</c:v>
                </c:pt>
                <c:pt idx="2">
                  <c:v>0.000315930514092287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0.767259819938412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Gifts/social support: type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0.0540889964974965</c:v>
                </c:pt>
                <c:pt idx="1">
                  <c:v>0.0540889964974965</c:v>
                </c:pt>
                <c:pt idx="2">
                  <c:v>0.0540889964974965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0.0199807244775628</c:v>
                </c:pt>
                <c:pt idx="1">
                  <c:v>0.0221786041700947</c:v>
                </c:pt>
                <c:pt idx="2">
                  <c:v>0.0221786041700947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9244040"/>
        <c:axId val="2089406984"/>
      </c:barChart>
      <c:catAx>
        <c:axId val="2089244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9406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9406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92440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sco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</sheetNames>
    <definedNames>
      <definedName name="wb_summary" refersTo="='WB'!$CK$9"/>
    </definedNames>
    <sheetDataSet>
      <sheetData sheetId="0" refreshError="1"/>
      <sheetData sheetId="1">
        <row r="1">
          <cell r="B1" t="str">
            <v>ZASCO</v>
          </cell>
          <cell r="D1">
            <v>59305</v>
          </cell>
        </row>
        <row r="2">
          <cell r="A2" t="str">
            <v>South coast intensive open access cropping</v>
          </cell>
        </row>
        <row r="9">
          <cell r="CK9">
            <v>0.28999999999999998</v>
          </cell>
        </row>
        <row r="10">
          <cell r="CK10">
            <v>0.42</v>
          </cell>
        </row>
        <row r="11">
          <cell r="CK11">
            <v>0.18</v>
          </cell>
        </row>
        <row r="12">
          <cell r="CK12">
            <v>0.11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15044.654117659915</v>
          </cell>
          <cell r="E1031">
            <v>15044.654117659915</v>
          </cell>
          <cell r="H1031">
            <v>13164.072352952426</v>
          </cell>
          <cell r="J1031">
            <v>9402.9088235374475</v>
          </cell>
        </row>
        <row r="1032">
          <cell r="C1032">
            <v>13918.666666666668</v>
          </cell>
          <cell r="E1032">
            <v>13918.666666666668</v>
          </cell>
          <cell r="H1032">
            <v>12178.833333333334</v>
          </cell>
          <cell r="J1032">
            <v>8699.1666666666679</v>
          </cell>
        </row>
        <row r="1033">
          <cell r="C1033">
            <v>27744</v>
          </cell>
          <cell r="E1033">
            <v>27744</v>
          </cell>
          <cell r="H1033">
            <v>24276</v>
          </cell>
          <cell r="J1033">
            <v>17340</v>
          </cell>
        </row>
        <row r="1034">
          <cell r="C1034">
            <v>2110</v>
          </cell>
          <cell r="E1034">
            <v>3665</v>
          </cell>
          <cell r="H1034">
            <v>3042.5</v>
          </cell>
          <cell r="J1034">
            <v>21837.5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0.68362752198526333</v>
          </cell>
          <cell r="E1038">
            <v>0.68362752198526333</v>
          </cell>
          <cell r="H1038">
            <v>0.68362752198526333</v>
          </cell>
          <cell r="J1038">
            <v>0.68362752198526333</v>
          </cell>
        </row>
        <row r="1039">
          <cell r="C1039">
            <v>8</v>
          </cell>
          <cell r="E1039">
            <v>8</v>
          </cell>
          <cell r="H1039">
            <v>7</v>
          </cell>
          <cell r="J1039">
            <v>5</v>
          </cell>
        </row>
        <row r="1040">
          <cell r="C1040">
            <v>10.354545454545455</v>
          </cell>
          <cell r="E1040">
            <v>10.354545454545455</v>
          </cell>
          <cell r="H1040">
            <v>10.354545454545455</v>
          </cell>
          <cell r="J1040">
            <v>10.354545454545455</v>
          </cell>
        </row>
        <row r="1044">
          <cell r="A1044" t="str">
            <v>Own meat</v>
          </cell>
          <cell r="C1044">
            <v>0</v>
          </cell>
          <cell r="D1044">
            <v>0</v>
          </cell>
          <cell r="E1044">
            <v>2.026514827210461E-2</v>
          </cell>
          <cell r="F1044">
            <v>0</v>
          </cell>
          <cell r="H1044">
            <v>2.3160169453833836E-2</v>
          </cell>
          <cell r="I1044">
            <v>0</v>
          </cell>
          <cell r="J1044">
            <v>8.5785733188044833E-2</v>
          </cell>
          <cell r="K1044">
            <v>0</v>
          </cell>
        </row>
        <row r="1045">
          <cell r="A1045" t="str">
            <v>Green cons - Season 1: no of months</v>
          </cell>
          <cell r="C1045">
            <v>4.9999999999999992E-3</v>
          </cell>
          <cell r="D1045">
            <v>0</v>
          </cell>
          <cell r="E1045">
            <v>7.4999999999999997E-3</v>
          </cell>
          <cell r="F1045">
            <v>0</v>
          </cell>
          <cell r="H1045">
            <v>5.8333333333333336E-3</v>
          </cell>
          <cell r="I1045">
            <v>0</v>
          </cell>
          <cell r="J1045">
            <v>4.9999999999999992E-3</v>
          </cell>
          <cell r="K1045">
            <v>0</v>
          </cell>
        </row>
        <row r="1046">
          <cell r="A1046" t="str">
            <v>Maize: kg produced</v>
          </cell>
          <cell r="C1046">
            <v>2.957269613947696E-2</v>
          </cell>
          <cell r="D1046">
            <v>0</v>
          </cell>
          <cell r="E1046">
            <v>2.8981242216687422E-2</v>
          </cell>
          <cell r="F1046">
            <v>0</v>
          </cell>
          <cell r="H1046">
            <v>1.6222736167941648E-2</v>
          </cell>
          <cell r="I1046">
            <v>3.3797367016545093E-2</v>
          </cell>
          <cell r="J1046">
            <v>2.8389788293897884E-2</v>
          </cell>
          <cell r="K1046">
            <v>0</v>
          </cell>
        </row>
        <row r="1047">
          <cell r="A1047" t="str">
            <v>Green Pepper/ Brinjal / Beetroot: kg produced</v>
          </cell>
          <cell r="C1047">
            <v>0</v>
          </cell>
          <cell r="D1047">
            <v>0</v>
          </cell>
          <cell r="E1047">
            <v>6.4726027397260272E-4</v>
          </cell>
          <cell r="F1047">
            <v>0</v>
          </cell>
          <cell r="H1047">
            <v>0</v>
          </cell>
          <cell r="I1047">
            <v>0</v>
          </cell>
          <cell r="J1047">
            <v>0</v>
          </cell>
          <cell r="K1047">
            <v>0</v>
          </cell>
        </row>
        <row r="1048">
          <cell r="A1048" t="str">
            <v>Beans: kg produced</v>
          </cell>
          <cell r="C1048">
            <v>1.1047051681195519E-2</v>
          </cell>
          <cell r="D1048">
            <v>0</v>
          </cell>
          <cell r="E1048">
            <v>2.0437045610211705E-2</v>
          </cell>
          <cell r="F1048">
            <v>-7.4567598848069728E-3</v>
          </cell>
          <cell r="H1048">
            <v>2.2725363458459352E-2</v>
          </cell>
          <cell r="I1048">
            <v>-8.2063812488880998E-3</v>
          </cell>
          <cell r="J1048">
            <v>1.6791518555417186E-2</v>
          </cell>
          <cell r="K1048">
            <v>0</v>
          </cell>
        </row>
        <row r="1049">
          <cell r="A1049" t="str">
            <v>Amadumbe: kg produced</v>
          </cell>
          <cell r="C1049">
            <v>5.7363013698630136E-3</v>
          </cell>
          <cell r="D1049">
            <v>0</v>
          </cell>
          <cell r="E1049">
            <v>1.0554794520547944E-2</v>
          </cell>
          <cell r="F1049">
            <v>2.1568493150684931E-2</v>
          </cell>
          <cell r="H1049">
            <v>1.4422700587084147E-2</v>
          </cell>
          <cell r="I1049">
            <v>1.8356164383561642E-2</v>
          </cell>
          <cell r="J1049">
            <v>2.2027397260273971E-3</v>
          </cell>
          <cell r="K1049">
            <v>9.9123287671232883E-3</v>
          </cell>
        </row>
        <row r="1050">
          <cell r="A1050" t="str">
            <v>Potatoes: kg produced</v>
          </cell>
          <cell r="C1050">
            <v>2.4517434620174349E-3</v>
          </cell>
          <cell r="D1050">
            <v>0</v>
          </cell>
          <cell r="E1050">
            <v>6.9874688667496887E-3</v>
          </cell>
          <cell r="F1050">
            <v>7.3552303860523046E-3</v>
          </cell>
          <cell r="H1050">
            <v>6.864881693648817E-3</v>
          </cell>
          <cell r="I1050">
            <v>0</v>
          </cell>
          <cell r="J1050">
            <v>9.6108343711083441E-3</v>
          </cell>
          <cell r="K1050">
            <v>0</v>
          </cell>
        </row>
        <row r="1051">
          <cell r="A1051" t="str">
            <v>Sweet Potatoes: kg produced</v>
          </cell>
          <cell r="C1051">
            <v>3.7266500622665003E-3</v>
          </cell>
          <cell r="D1051">
            <v>0</v>
          </cell>
          <cell r="E1051">
            <v>2.2359900373599004E-2</v>
          </cell>
          <cell r="F1051">
            <v>1.4906600249065999E-2</v>
          </cell>
          <cell r="H1051">
            <v>7.4533001245330006E-3</v>
          </cell>
          <cell r="I1051">
            <v>0</v>
          </cell>
          <cell r="J1051">
            <v>0</v>
          </cell>
          <cell r="K1051">
            <v>0</v>
          </cell>
        </row>
        <row r="1052">
          <cell r="A1052" t="str">
            <v>Other crop: Cabbage</v>
          </cell>
          <cell r="C1052">
            <v>0</v>
          </cell>
          <cell r="D1052">
            <v>0</v>
          </cell>
          <cell r="E1052">
            <v>4.3477584059775842E-3</v>
          </cell>
          <cell r="F1052">
            <v>2.0594645080946449E-3</v>
          </cell>
          <cell r="H1052">
            <v>3.8704856787048565E-3</v>
          </cell>
          <cell r="I1052">
            <v>5.2303860523038618E-4</v>
          </cell>
          <cell r="J1052">
            <v>2.8557907845579078E-3</v>
          </cell>
          <cell r="K1052">
            <v>0</v>
          </cell>
        </row>
        <row r="1053">
          <cell r="A1053" t="str">
            <v>Other crop: pumpkin</v>
          </cell>
          <cell r="C1053">
            <v>5.0835990037359901E-3</v>
          </cell>
          <cell r="D1053">
            <v>0</v>
          </cell>
          <cell r="E1053">
            <v>6.3544987546699881E-3</v>
          </cell>
          <cell r="F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</row>
        <row r="1054">
          <cell r="A1054" t="str">
            <v>Other crop: Spinach: no produced</v>
          </cell>
          <cell r="C1054">
            <v>4.7073474470734743E-4</v>
          </cell>
          <cell r="D1054">
            <v>0</v>
          </cell>
          <cell r="E1054">
            <v>9.4146948941469487E-4</v>
          </cell>
          <cell r="F1054">
            <v>0</v>
          </cell>
          <cell r="H1054">
            <v>1.4346201743462017E-3</v>
          </cell>
          <cell r="I1054">
            <v>0</v>
          </cell>
          <cell r="J1054">
            <v>2.0084682440846824E-3</v>
          </cell>
          <cell r="K1054">
            <v>0</v>
          </cell>
        </row>
        <row r="1055">
          <cell r="A1055" t="str">
            <v>FISHING -- see worksheet Data 3</v>
          </cell>
          <cell r="C1055">
            <v>0</v>
          </cell>
          <cell r="D1055">
            <v>0</v>
          </cell>
          <cell r="E1055">
            <v>1.0535491905354919E-2</v>
          </cell>
          <cell r="F1055">
            <v>2.633872976338731E-3</v>
          </cell>
          <cell r="H1055">
            <v>0</v>
          </cell>
          <cell r="I1055">
            <v>0</v>
          </cell>
          <cell r="J1055">
            <v>0</v>
          </cell>
          <cell r="K1055">
            <v>0</v>
          </cell>
        </row>
        <row r="1056">
          <cell r="A1056" t="str">
            <v>WILD FOODS -- see worksheet Data 3</v>
          </cell>
          <cell r="C1056">
            <v>3.4389788293897883E-3</v>
          </cell>
          <cell r="D1056">
            <v>8.5974470734744707E-4</v>
          </cell>
          <cell r="E1056">
            <v>1.0199252801992528E-3</v>
          </cell>
          <cell r="F1056">
            <v>2.549813200498133E-4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0.18174630332938849</v>
          </cell>
          <cell r="D1064">
            <v>0</v>
          </cell>
          <cell r="E1064">
            <v>0.19058254630023541</v>
          </cell>
          <cell r="F1064">
            <v>0</v>
          </cell>
          <cell r="H1064">
            <v>0.15290118429742355</v>
          </cell>
          <cell r="I1064">
            <v>0</v>
          </cell>
          <cell r="J1064">
            <v>4.7619047619047616E-2</v>
          </cell>
          <cell r="K1064">
            <v>0</v>
          </cell>
        </row>
        <row r="1065">
          <cell r="A1065" t="str">
            <v>Purchase - other</v>
          </cell>
          <cell r="C1065">
            <v>3.314115504358655E-2</v>
          </cell>
          <cell r="D1065">
            <v>-3.314115504358655E-2</v>
          </cell>
          <cell r="E1065">
            <v>3.7833707970112082E-2</v>
          </cell>
          <cell r="F1065">
            <v>-3.7833707970112082E-2</v>
          </cell>
          <cell r="H1065">
            <v>4.3238523394413808E-2</v>
          </cell>
          <cell r="I1065">
            <v>-4.3238523394413808E-2</v>
          </cell>
          <cell r="J1065">
            <v>5.9204376089663752E-2</v>
          </cell>
          <cell r="K1065">
            <v>-5.9204376089663752E-2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0.22016382954545452</v>
          </cell>
          <cell r="D1067">
            <v>4.8057198240991673E-3</v>
          </cell>
          <cell r="E1067">
            <v>0.21354863340597754</v>
          </cell>
          <cell r="F1067">
            <v>1.1420915963576129E-2</v>
          </cell>
          <cell r="H1067">
            <v>0.28219106484967088</v>
          </cell>
          <cell r="I1067">
            <v>-5.7221515480117169E-2</v>
          </cell>
          <cell r="J1067">
            <v>0.40922335878455784</v>
          </cell>
          <cell r="K1067">
            <v>-0.18425380941500422</v>
          </cell>
        </row>
        <row r="1068">
          <cell r="A1068" t="str">
            <v>Purchase - staple</v>
          </cell>
          <cell r="C1068">
            <v>0.5826586550435866</v>
          </cell>
          <cell r="E1068">
            <v>0.66125891656288927</v>
          </cell>
          <cell r="H1068">
            <v>0.7395463412204234</v>
          </cell>
          <cell r="J1068">
            <v>0.85667246226650062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4000</v>
          </cell>
          <cell r="F1072">
            <v>0</v>
          </cell>
          <cell r="H1072">
            <v>8000</v>
          </cell>
          <cell r="I1072">
            <v>-4000</v>
          </cell>
          <cell r="J1072">
            <v>10000</v>
          </cell>
          <cell r="K1072">
            <v>2000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600</v>
          </cell>
          <cell r="F1073">
            <v>0</v>
          </cell>
          <cell r="H1073">
            <v>600</v>
          </cell>
          <cell r="I1073">
            <v>600</v>
          </cell>
          <cell r="J1073">
            <v>1800</v>
          </cell>
          <cell r="K1073">
            <v>600</v>
          </cell>
        </row>
        <row r="1074">
          <cell r="A1074" t="str">
            <v>Chicken/ duck sales: no. sold</v>
          </cell>
          <cell r="C1074">
            <v>0</v>
          </cell>
          <cell r="D1074">
            <v>0</v>
          </cell>
          <cell r="E1074">
            <v>249</v>
          </cell>
          <cell r="F1074">
            <v>0</v>
          </cell>
          <cell r="H1074">
            <v>100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350</v>
          </cell>
          <cell r="I1075">
            <v>-350</v>
          </cell>
          <cell r="J1075">
            <v>0</v>
          </cell>
          <cell r="K1075">
            <v>0</v>
          </cell>
        </row>
        <row r="1076">
          <cell r="A1076" t="str">
            <v>Beans: kg produced</v>
          </cell>
          <cell r="C1076">
            <v>0</v>
          </cell>
          <cell r="D1076">
            <v>0</v>
          </cell>
          <cell r="E1076">
            <v>200</v>
          </cell>
          <cell r="F1076">
            <v>270</v>
          </cell>
          <cell r="H1076">
            <v>200</v>
          </cell>
          <cell r="I1076">
            <v>260</v>
          </cell>
          <cell r="J1076">
            <v>1260</v>
          </cell>
          <cell r="K1076">
            <v>0</v>
          </cell>
        </row>
        <row r="1077">
          <cell r="A1077" t="str">
            <v>Amadumbe: kg produced</v>
          </cell>
          <cell r="C1077">
            <v>0</v>
          </cell>
          <cell r="D1077">
            <v>0</v>
          </cell>
          <cell r="E1077">
            <v>658</v>
          </cell>
          <cell r="F1077">
            <v>-658</v>
          </cell>
          <cell r="H1077">
            <v>280</v>
          </cell>
          <cell r="I1077">
            <v>-280</v>
          </cell>
          <cell r="J1077">
            <v>162</v>
          </cell>
          <cell r="K1077">
            <v>-162</v>
          </cell>
        </row>
        <row r="1078">
          <cell r="A1078" t="str">
            <v>Potatoes: kg produced</v>
          </cell>
          <cell r="C1078">
            <v>0</v>
          </cell>
          <cell r="D1078">
            <v>0</v>
          </cell>
          <cell r="E1078">
            <v>300</v>
          </cell>
          <cell r="F1078">
            <v>-300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Sweet Potatoes: kg produced</v>
          </cell>
          <cell r="C1079">
            <v>0</v>
          </cell>
          <cell r="D1079">
            <v>0</v>
          </cell>
          <cell r="E1079">
            <v>560</v>
          </cell>
          <cell r="F1079">
            <v>-560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Other crop: Cabbage</v>
          </cell>
          <cell r="C1080">
            <v>0</v>
          </cell>
          <cell r="D1080">
            <v>0</v>
          </cell>
          <cell r="E1080">
            <v>135</v>
          </cell>
          <cell r="F1080">
            <v>-135</v>
          </cell>
          <cell r="H1080">
            <v>60</v>
          </cell>
          <cell r="I1080">
            <v>-60</v>
          </cell>
          <cell r="J1080">
            <v>0</v>
          </cell>
          <cell r="K1080">
            <v>0</v>
          </cell>
        </row>
        <row r="1081">
          <cell r="A1081" t="str">
            <v>Other crop: Spinach: no produced</v>
          </cell>
          <cell r="C1081">
            <v>48</v>
          </cell>
          <cell r="D1081">
            <v>0</v>
          </cell>
          <cell r="E1081">
            <v>48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Other cashcrop: sugar cane (tons)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0</v>
          </cell>
          <cell r="I1082">
            <v>0</v>
          </cell>
          <cell r="J1082">
            <v>20000</v>
          </cell>
          <cell r="K1082">
            <v>0</v>
          </cell>
        </row>
        <row r="1083">
          <cell r="A1083" t="str">
            <v>Agricultural cash income -- see Data2</v>
          </cell>
          <cell r="C1083">
            <v>700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>Domestic work cash income -- see Data2</v>
          </cell>
          <cell r="C1084">
            <v>3960</v>
          </cell>
          <cell r="D1084">
            <v>0</v>
          </cell>
          <cell r="E1084">
            <v>0</v>
          </cell>
          <cell r="F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>Formal Employment (conservancies, etc.)</v>
          </cell>
          <cell r="C1085">
            <v>0</v>
          </cell>
          <cell r="D1085">
            <v>0</v>
          </cell>
          <cell r="E1085">
            <v>0</v>
          </cell>
          <cell r="F1085">
            <v>0</v>
          </cell>
          <cell r="H1085">
            <v>108000</v>
          </cell>
          <cell r="I1085">
            <v>0</v>
          </cell>
          <cell r="J1085">
            <v>144000</v>
          </cell>
          <cell r="K1085">
            <v>0</v>
          </cell>
        </row>
        <row r="1086">
          <cell r="A1086" t="str">
            <v>Small business -- see Data2</v>
          </cell>
          <cell r="C1086">
            <v>3840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24000</v>
          </cell>
          <cell r="K1086">
            <v>0</v>
          </cell>
        </row>
        <row r="1087">
          <cell r="A1087" t="str">
            <v>Social development -- see Data2</v>
          </cell>
          <cell r="C1087">
            <v>15840</v>
          </cell>
          <cell r="D1087">
            <v>0</v>
          </cell>
          <cell r="E1087">
            <v>32640</v>
          </cell>
          <cell r="F1087">
            <v>0</v>
          </cell>
          <cell r="H1087">
            <v>8400</v>
          </cell>
          <cell r="I1087">
            <v>0</v>
          </cell>
          <cell r="J1087">
            <v>8400</v>
          </cell>
          <cell r="K1087">
            <v>0</v>
          </cell>
        </row>
        <row r="1088">
          <cell r="A1088" t="str">
            <v>Public works -- see Data2</v>
          </cell>
          <cell r="C1088">
            <v>7200</v>
          </cell>
          <cell r="D1088">
            <v>0</v>
          </cell>
          <cell r="E1088">
            <v>0</v>
          </cell>
          <cell r="F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</row>
        <row r="1089">
          <cell r="A1089" t="str">
            <v>Gifts/social support: type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H1089">
            <v>0</v>
          </cell>
          <cell r="I1089">
            <v>0</v>
          </cell>
          <cell r="J1089">
            <v>6600</v>
          </cell>
          <cell r="K1089">
            <v>0</v>
          </cell>
        </row>
        <row r="1090">
          <cell r="A1090" t="str">
            <v>Other income: e.g. Credit (cotton loans)</v>
          </cell>
          <cell r="C1090">
            <v>0</v>
          </cell>
          <cell r="D1090">
            <v>0</v>
          </cell>
          <cell r="E1090">
            <v>2301</v>
          </cell>
          <cell r="F1090">
            <v>0</v>
          </cell>
          <cell r="H1090">
            <v>2500</v>
          </cell>
          <cell r="I1090">
            <v>0</v>
          </cell>
          <cell r="J1090">
            <v>0</v>
          </cell>
          <cell r="K1090">
            <v>0</v>
          </cell>
        </row>
        <row r="1091">
          <cell r="A1091" t="str">
            <v>Remittances: no. times per year</v>
          </cell>
          <cell r="C1091">
            <v>0</v>
          </cell>
          <cell r="D1091">
            <v>0</v>
          </cell>
          <cell r="E1091">
            <v>850</v>
          </cell>
          <cell r="F1091">
            <v>0</v>
          </cell>
          <cell r="H1091">
            <v>1350</v>
          </cell>
          <cell r="I1091">
            <v>0</v>
          </cell>
          <cell r="J1091">
            <v>0</v>
          </cell>
          <cell r="K1091">
            <v>0</v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S7" sqref="S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ZASCO: 59305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7" t="str">
        <f>Poor!Z1</f>
        <v>Apr-Jun</v>
      </c>
      <c r="AA1" s="258"/>
      <c r="AB1" s="257" t="str">
        <f>Poor!AB1</f>
        <v>Jul-Sep</v>
      </c>
      <c r="AC1" s="258"/>
      <c r="AD1" s="257" t="str">
        <f>Poor!AD1</f>
        <v>Oct-Dec</v>
      </c>
      <c r="AE1" s="258"/>
      <c r="AF1" s="257" t="str">
        <f>Poor!AF1</f>
        <v>Jan-Mar</v>
      </c>
      <c r="AG1" s="258"/>
      <c r="AH1" s="117"/>
      <c r="AI1" s="110"/>
      <c r="AJ1" s="196" t="str">
        <f>LEFT(Z1,4) &amp; MID(AB1,5,3)</f>
        <v>Apr-Sep</v>
      </c>
      <c r="AK1" s="197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Own meat</v>
      </c>
      <c r="B6" s="216">
        <f>IF([1]Summ!C1044="",0,[1]Summ!C1044)</f>
        <v>0</v>
      </c>
      <c r="C6" s="216">
        <f>IF([1]Summ!D1044="",0,[1]Summ!D1044)</f>
        <v>0</v>
      </c>
      <c r="D6" s="24">
        <f t="shared" ref="D6:D28" si="0">(B6+C6)</f>
        <v>0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4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Green cons - Season 1: no of months</v>
      </c>
      <c r="B7" s="216">
        <f>IF([1]Summ!C1045="",0,[1]Summ!C1045)</f>
        <v>4.9999999999999992E-3</v>
      </c>
      <c r="C7" s="216">
        <f>IF([1]Summ!D1045="",0,[1]Summ!D1045)</f>
        <v>0</v>
      </c>
      <c r="D7" s="24">
        <f t="shared" si="0"/>
        <v>4.9999999999999992E-3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9.999999999999998E-4</v>
      </c>
      <c r="J7" s="24">
        <f t="shared" si="3"/>
        <v>9.999999999999998E-4</v>
      </c>
      <c r="K7" s="22">
        <f t="shared" si="4"/>
        <v>4.9999999999999992E-3</v>
      </c>
      <c r="L7" s="22">
        <f t="shared" si="5"/>
        <v>9.999999999999998E-4</v>
      </c>
      <c r="M7" s="177">
        <f t="shared" si="6"/>
        <v>9.999999999999998E-4</v>
      </c>
      <c r="N7" s="229">
        <v>1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1993.7522850518562</v>
      </c>
      <c r="S7" s="222">
        <f>IF($B$81=0,0,(SUMIF($N$6:$N$28,$U7,L$6:L$28)+SUMIF($N$91:$N$118,$U7,L$91:L$118))*$I$83*Poor!$B$81/$B$81)</f>
        <v>531.18539183467385</v>
      </c>
      <c r="T7" s="222">
        <f>IF($B$81=0,0,(SUMIF($N$6:$N$28,$U7,M$6:M$28)+SUMIF($N$91:$N$118,$U7,M$91:M$118))*$I$83*Poor!$B$81/$B$81)</f>
        <v>531.18539183467385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3.9999999999999992E-3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3.9999999999999992E-3</v>
      </c>
      <c r="AH7" s="123">
        <f t="shared" ref="AH7:AH30" si="12">SUM(Z7,AB7,AD7,AF7)</f>
        <v>1</v>
      </c>
      <c r="AI7" s="184">
        <f t="shared" ref="AI7:AI30" si="13">SUM(AA7,AC7,AE7,AG7)/4</f>
        <v>9.999999999999998E-4</v>
      </c>
      <c r="AJ7" s="120">
        <f t="shared" ref="AJ7:AJ31" si="14">(AA7+AC7)/2</f>
        <v>0</v>
      </c>
      <c r="AK7" s="119">
        <f t="shared" ref="AK7:AK31" si="15">(AE7+AG7)/2</f>
        <v>1.9999999999999996E-3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216">
        <f>IF([1]Summ!C1046="",0,[1]Summ!C1046)</f>
        <v>2.957269613947696E-2</v>
      </c>
      <c r="C8" s="216">
        <f>IF([1]Summ!D1046="",0,[1]Summ!D1046)</f>
        <v>0</v>
      </c>
      <c r="D8" s="24">
        <f t="shared" si="0"/>
        <v>2.957269613947696E-2</v>
      </c>
      <c r="E8" s="75">
        <f>Poor!E8</f>
        <v>0.3</v>
      </c>
      <c r="F8" s="22" t="s">
        <v>23</v>
      </c>
      <c r="H8" s="24">
        <f t="shared" si="1"/>
        <v>0.3</v>
      </c>
      <c r="I8" s="22">
        <f t="shared" si="2"/>
        <v>8.8718088418430884E-3</v>
      </c>
      <c r="J8" s="24">
        <f t="shared" si="3"/>
        <v>8.8718088418430884E-3</v>
      </c>
      <c r="K8" s="22">
        <f t="shared" si="4"/>
        <v>2.957269613947696E-2</v>
      </c>
      <c r="L8" s="22">
        <f t="shared" si="5"/>
        <v>8.8718088418430884E-3</v>
      </c>
      <c r="M8" s="224">
        <f t="shared" si="6"/>
        <v>8.8718088418430884E-3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73.388312530900549</v>
      </c>
      <c r="S8" s="222">
        <f>IF($B$81=0,0,(SUMIF($N$6:$N$28,$U8,L$6:L$28)+SUMIF($N$91:$N$118,$U8,L$91:L$118))*$I$83*Poor!$B$81/$B$81)</f>
        <v>13.439999999999998</v>
      </c>
      <c r="T8" s="222">
        <f>IF($B$81=0,0,(SUMIF($N$6:$N$28,$U8,M$6:M$28)+SUMIF($N$91:$N$118,$U8,M$91:M$118))*$I$83*Poor!$B$81/$B$81)</f>
        <v>13.439999999999998</v>
      </c>
      <c r="U8" s="223">
        <v>2</v>
      </c>
      <c r="V8" s="56"/>
      <c r="W8" s="115"/>
      <c r="X8" s="118">
        <f>Poor!X8</f>
        <v>1</v>
      </c>
      <c r="Y8" s="184">
        <f t="shared" si="9"/>
        <v>3.5487235367372354E-2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3.5487235367372354E-2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8.8718088418430884E-3</v>
      </c>
      <c r="AJ8" s="120">
        <f t="shared" si="14"/>
        <v>1.7743617683686177E-2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Pepper/ Brinjal / Beetroot: kg produced</v>
      </c>
      <c r="B9" s="216">
        <f>IF([1]Summ!C1047="",0,[1]Summ!C1047)</f>
        <v>0</v>
      </c>
      <c r="C9" s="216">
        <f>IF([1]Summ!D1047="",0,[1]Summ!D1047)</f>
        <v>0</v>
      </c>
      <c r="D9" s="24">
        <f t="shared" si="0"/>
        <v>0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0</v>
      </c>
      <c r="S9" s="222">
        <f>IF($B$81=0,0,(SUMIF($N$6:$N$28,$U9,L$6:L$28)+SUMIF($N$91:$N$118,$U9,L$91:L$118))*$I$83*Poor!$B$81/$B$81)</f>
        <v>0</v>
      </c>
      <c r="T9" s="222">
        <f>IF($B$81=0,0,(SUMIF($N$6:$N$28,$U9,M$6:M$28)+SUMIF($N$91:$N$118,$U9,M$91:M$118))*$I$83*Poor!$B$81/$B$81)</f>
        <v>0</v>
      </c>
      <c r="U9" s="223">
        <v>3</v>
      </c>
      <c r="V9" s="56"/>
      <c r="W9" s="115"/>
      <c r="X9" s="118">
        <f>Poor!X9</f>
        <v>1</v>
      </c>
      <c r="Y9" s="184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4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216">
        <f>IF([1]Summ!C1048="",0,[1]Summ!C1048)</f>
        <v>1.1047051681195519E-2</v>
      </c>
      <c r="C10" s="216">
        <f>IF([1]Summ!D1048="",0,[1]Summ!D1048)</f>
        <v>0</v>
      </c>
      <c r="D10" s="24">
        <f t="shared" si="0"/>
        <v>1.1047051681195519E-2</v>
      </c>
      <c r="E10" s="75">
        <f>Poor!E10</f>
        <v>0.2</v>
      </c>
      <c r="H10" s="24">
        <f t="shared" si="1"/>
        <v>0.2</v>
      </c>
      <c r="I10" s="22">
        <f t="shared" si="2"/>
        <v>2.209410336239104E-3</v>
      </c>
      <c r="J10" s="24">
        <f t="shared" si="3"/>
        <v>2.209410336239104E-3</v>
      </c>
      <c r="K10" s="22">
        <f t="shared" si="4"/>
        <v>1.1047051681195519E-2</v>
      </c>
      <c r="L10" s="22">
        <f t="shared" si="5"/>
        <v>2.209410336239104E-3</v>
      </c>
      <c r="M10" s="224">
        <f t="shared" si="6"/>
        <v>2.209410336239104E-3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8.8376413449564161E-3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8.8376413449564161E-3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2.209410336239104E-3</v>
      </c>
      <c r="AJ10" s="120">
        <f t="shared" si="14"/>
        <v>4.4188206724782081E-3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Amadumbe: kg produced</v>
      </c>
      <c r="B11" s="216">
        <f>IF([1]Summ!C1049="",0,[1]Summ!C1049)</f>
        <v>5.7363013698630136E-3</v>
      </c>
      <c r="C11" s="216">
        <f>IF([1]Summ!D1049="",0,[1]Summ!D1049)</f>
        <v>0</v>
      </c>
      <c r="D11" s="24">
        <f t="shared" si="0"/>
        <v>5.7363013698630136E-3</v>
      </c>
      <c r="E11" s="75">
        <f>Poor!E11</f>
        <v>0.2</v>
      </c>
      <c r="H11" s="24">
        <f t="shared" si="1"/>
        <v>0.2</v>
      </c>
      <c r="I11" s="22">
        <f t="shared" si="2"/>
        <v>1.1472602739726028E-3</v>
      </c>
      <c r="J11" s="24">
        <f t="shared" si="3"/>
        <v>1.1472602739726028E-3</v>
      </c>
      <c r="K11" s="22">
        <f t="shared" si="4"/>
        <v>5.7363013698630136E-3</v>
      </c>
      <c r="L11" s="22">
        <f t="shared" si="5"/>
        <v>1.1472602739726028E-3</v>
      </c>
      <c r="M11" s="224">
        <f t="shared" si="6"/>
        <v>1.1472602739726028E-3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0</v>
      </c>
      <c r="S11" s="222">
        <f>IF($B$81=0,0,(SUMIF($N$6:$N$28,$U11,L$6:L$28)+SUMIF($N$91:$N$118,$U11,L$91:L$118))*$I$83*Poor!$B$81/$B$81)</f>
        <v>0</v>
      </c>
      <c r="T11" s="222">
        <f>IF($B$81=0,0,(SUMIF($N$6:$N$28,$U11,M$6:M$28)+SUMIF($N$91:$N$118,$U11,M$91:M$118))*$I$83*Poor!$B$81/$B$81)</f>
        <v>0</v>
      </c>
      <c r="U11" s="223">
        <v>5</v>
      </c>
      <c r="V11" s="56"/>
      <c r="W11" s="115"/>
      <c r="X11" s="118">
        <f>Poor!X11</f>
        <v>1</v>
      </c>
      <c r="Y11" s="184">
        <f t="shared" si="9"/>
        <v>4.5890410958904114E-3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4.5890410958904114E-3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1.1472602739726028E-3</v>
      </c>
      <c r="AJ11" s="120">
        <f t="shared" si="14"/>
        <v>2.2945205479452057E-3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Potatoes: kg produced</v>
      </c>
      <c r="B12" s="216">
        <f>IF([1]Summ!C1050="",0,[1]Summ!C1050)</f>
        <v>2.4517434620174349E-3</v>
      </c>
      <c r="C12" s="216">
        <f>IF([1]Summ!D1050="",0,[1]Summ!D1050)</f>
        <v>0</v>
      </c>
      <c r="D12" s="24">
        <f t="shared" si="0"/>
        <v>2.4517434620174349E-3</v>
      </c>
      <c r="E12" s="75">
        <f>Poor!E12</f>
        <v>0.2</v>
      </c>
      <c r="H12" s="24">
        <f t="shared" si="1"/>
        <v>0.2</v>
      </c>
      <c r="I12" s="22">
        <f t="shared" si="2"/>
        <v>4.9034869240348702E-4</v>
      </c>
      <c r="J12" s="24">
        <f t="shared" si="3"/>
        <v>4.9034869240348702E-4</v>
      </c>
      <c r="K12" s="22">
        <f t="shared" si="4"/>
        <v>2.4517434620174349E-3</v>
      </c>
      <c r="L12" s="22">
        <f t="shared" si="5"/>
        <v>4.9034869240348702E-4</v>
      </c>
      <c r="M12" s="224">
        <f t="shared" si="6"/>
        <v>4.9034869240348702E-4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1178.925965619884</v>
      </c>
      <c r="S12" s="222">
        <f>IF($B$81=0,0,(SUMIF($N$6:$N$28,$U12,L$6:L$28)+SUMIF($N$91:$N$118,$U12,L$91:L$118))*$I$83*Poor!$B$81/$B$81)</f>
        <v>505.78618913645812</v>
      </c>
      <c r="T12" s="222">
        <f>IF($B$81=0,0,(SUMIF($N$6:$N$28,$U12,M$6:M$28)+SUMIF($N$91:$N$118,$U12,M$91:M$118))*$I$83*Poor!$B$81/$B$81)</f>
        <v>535.10773642057256</v>
      </c>
      <c r="U12" s="223">
        <v>6</v>
      </c>
      <c r="V12" s="56"/>
      <c r="W12" s="117"/>
      <c r="X12" s="118">
        <v>1</v>
      </c>
      <c r="Y12" s="184">
        <f t="shared" si="9"/>
        <v>1.9613947696139481E-3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1.3141344956413452E-3</v>
      </c>
      <c r="AF12" s="122">
        <f>1-SUM(Z12,AB12,AD12)</f>
        <v>0.32999999999999996</v>
      </c>
      <c r="AG12" s="121">
        <f>$M12*AF12*4</f>
        <v>6.4726027397260283E-4</v>
      </c>
      <c r="AH12" s="123">
        <f t="shared" si="12"/>
        <v>1</v>
      </c>
      <c r="AI12" s="184">
        <f t="shared" si="13"/>
        <v>4.9034869240348702E-4</v>
      </c>
      <c r="AJ12" s="120">
        <f t="shared" si="14"/>
        <v>0</v>
      </c>
      <c r="AK12" s="119">
        <f t="shared" si="15"/>
        <v>9.8069738480697404E-4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Sweet Potatoes: kg produced</v>
      </c>
      <c r="B13" s="216">
        <f>IF([1]Summ!C1051="",0,[1]Summ!C1051)</f>
        <v>3.7266500622665003E-3</v>
      </c>
      <c r="C13" s="216">
        <f>IF([1]Summ!D1051="",0,[1]Summ!D1051)</f>
        <v>0</v>
      </c>
      <c r="D13" s="24">
        <f t="shared" si="0"/>
        <v>3.7266500622665003E-3</v>
      </c>
      <c r="E13" s="75">
        <f>Poor!E13</f>
        <v>0.2</v>
      </c>
      <c r="H13" s="24">
        <f t="shared" si="1"/>
        <v>0.2</v>
      </c>
      <c r="I13" s="22">
        <f t="shared" si="2"/>
        <v>7.453300124533001E-4</v>
      </c>
      <c r="J13" s="24">
        <f t="shared" si="3"/>
        <v>7.453300124533001E-4</v>
      </c>
      <c r="K13" s="22">
        <f t="shared" si="4"/>
        <v>3.7266500622665003E-3</v>
      </c>
      <c r="L13" s="22">
        <f t="shared" si="5"/>
        <v>7.453300124533001E-4</v>
      </c>
      <c r="M13" s="225">
        <f t="shared" si="6"/>
        <v>7.453300124533001E-4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6054.5357837992951</v>
      </c>
      <c r="S13" s="222">
        <f>IF($B$81=0,0,(SUMIF($N$6:$N$28,$U13,L$6:L$28)+SUMIF($N$91:$N$118,$U13,L$91:L$118))*$I$83*Poor!$B$81/$B$81)</f>
        <v>2197.8000000000002</v>
      </c>
      <c r="T13" s="222">
        <f>IF($B$81=0,0,(SUMIF($N$6:$N$28,$U13,M$6:M$28)+SUMIF($N$91:$N$118,$U13,M$91:M$118))*$I$83*Poor!$B$81/$B$81)</f>
        <v>2197.8000000000002</v>
      </c>
      <c r="U13" s="223">
        <v>7</v>
      </c>
      <c r="V13" s="56"/>
      <c r="W13" s="110"/>
      <c r="X13" s="118"/>
      <c r="Y13" s="184">
        <f t="shared" si="9"/>
        <v>2.9813200498132004E-3</v>
      </c>
      <c r="Z13" s="156">
        <f>Poor!Z13</f>
        <v>1</v>
      </c>
      <c r="AA13" s="121">
        <f>$M13*Z13*4</f>
        <v>2.9813200498132004E-3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7.453300124533001E-4</v>
      </c>
      <c r="AJ13" s="120">
        <f t="shared" si="14"/>
        <v>1.4906600249066002E-3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crop: Cabbage</v>
      </c>
      <c r="B14" s="216">
        <f>IF([1]Summ!C1052="",0,[1]Summ!C1052)</f>
        <v>0</v>
      </c>
      <c r="C14" s="216">
        <f>IF([1]Summ!D1052="",0,[1]Summ!D1052)</f>
        <v>0</v>
      </c>
      <c r="D14" s="24">
        <f t="shared" si="0"/>
        <v>0</v>
      </c>
      <c r="E14" s="75">
        <f>Poor!E14</f>
        <v>0.2</v>
      </c>
      <c r="F14" s="22"/>
      <c r="H14" s="24">
        <f t="shared" si="1"/>
        <v>0.2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5871.0650024720435</v>
      </c>
      <c r="S14" s="222">
        <f>IF($B$81=0,0,(SUMIF($N$6:$N$28,$U14,L$6:L$28)+SUMIF($N$91:$N$118,$U14,L$91:L$118))*$I$83*Poor!$B$81/$B$81)</f>
        <v>3624.96</v>
      </c>
      <c r="T14" s="222">
        <f>IF($B$81=0,0,(SUMIF($N$6:$N$28,$U14,M$6:M$28)+SUMIF($N$91:$N$118,$U14,M$91:M$118))*$I$83*Poor!$B$81/$B$81)</f>
        <v>3624.96</v>
      </c>
      <c r="U14" s="223">
        <v>8</v>
      </c>
      <c r="V14" s="56"/>
      <c r="W14" s="110"/>
      <c r="X14" s="118"/>
      <c r="Y14" s="184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Other crop: pumpkin</v>
      </c>
      <c r="B15" s="216">
        <f>IF([1]Summ!C1053="",0,[1]Summ!C1053)</f>
        <v>5.0835990037359901E-3</v>
      </c>
      <c r="C15" s="216">
        <f>IF([1]Summ!D1053="",0,[1]Summ!D1053)</f>
        <v>0</v>
      </c>
      <c r="D15" s="24">
        <f t="shared" si="0"/>
        <v>5.0835990037359901E-3</v>
      </c>
      <c r="E15" s="75">
        <f>Poor!E15</f>
        <v>0.2</v>
      </c>
      <c r="F15" s="22"/>
      <c r="H15" s="24">
        <f t="shared" si="1"/>
        <v>0.2</v>
      </c>
      <c r="I15" s="22">
        <f t="shared" si="2"/>
        <v>1.0167198007471981E-3</v>
      </c>
      <c r="J15" s="24">
        <f t="shared" ref="J15:J25" si="17">IF(I$32&lt;=1+I131,I15,B15*H15+J$33*(I15-B15*H15))</f>
        <v>1.0167198007471981E-3</v>
      </c>
      <c r="K15" s="22">
        <f t="shared" si="4"/>
        <v>5.0835990037359901E-3</v>
      </c>
      <c r="L15" s="22">
        <f t="shared" si="5"/>
        <v>1.0167198007471981E-3</v>
      </c>
      <c r="M15" s="226">
        <f t="shared" si="6"/>
        <v>1.0167198007471981E-3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4.0668792029887922E-3</v>
      </c>
      <c r="Z15" s="156">
        <f>Poor!Z15</f>
        <v>0.25</v>
      </c>
      <c r="AA15" s="121">
        <f t="shared" si="16"/>
        <v>1.0167198007471981E-3</v>
      </c>
      <c r="AB15" s="156">
        <f>Poor!AB15</f>
        <v>0.25</v>
      </c>
      <c r="AC15" s="121">
        <f t="shared" si="7"/>
        <v>1.0167198007471981E-3</v>
      </c>
      <c r="AD15" s="156">
        <f>Poor!AD15</f>
        <v>0.25</v>
      </c>
      <c r="AE15" s="121">
        <f t="shared" si="8"/>
        <v>1.0167198007471981E-3</v>
      </c>
      <c r="AF15" s="122">
        <f t="shared" si="10"/>
        <v>0.25</v>
      </c>
      <c r="AG15" s="121">
        <f t="shared" si="11"/>
        <v>1.0167198007471981E-3</v>
      </c>
      <c r="AH15" s="123">
        <f t="shared" si="12"/>
        <v>1</v>
      </c>
      <c r="AI15" s="184">
        <f t="shared" si="13"/>
        <v>1.0167198007471981E-3</v>
      </c>
      <c r="AJ15" s="120">
        <f t="shared" si="14"/>
        <v>1.0167198007471981E-3</v>
      </c>
      <c r="AK15" s="119">
        <f t="shared" si="15"/>
        <v>1.0167198007471981E-3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Spinach: no produced</v>
      </c>
      <c r="B16" s="216">
        <f>IF([1]Summ!C1054="",0,[1]Summ!C1054)</f>
        <v>4.7073474470734743E-4</v>
      </c>
      <c r="C16" s="216">
        <f>IF([1]Summ!D1054="",0,[1]Summ!D1054)</f>
        <v>0</v>
      </c>
      <c r="D16" s="24">
        <f t="shared" ref="D16:D25" si="18">(B16+C16)</f>
        <v>4.7073474470734743E-4</v>
      </c>
      <c r="E16" s="75">
        <f>Poor!E16</f>
        <v>0.2</v>
      </c>
      <c r="F16" s="22"/>
      <c r="H16" s="24">
        <f t="shared" ref="H16:H25" si="19">(E16*F$7/F$9)</f>
        <v>0.2</v>
      </c>
      <c r="I16" s="22">
        <f t="shared" ref="I16:I25" si="20">(D16*H16)</f>
        <v>9.4146948941469487E-5</v>
      </c>
      <c r="J16" s="24">
        <f t="shared" si="17"/>
        <v>9.4146948941469487E-5</v>
      </c>
      <c r="K16" s="22">
        <f t="shared" ref="K16:K25" si="21">B16</f>
        <v>4.7073474470734743E-4</v>
      </c>
      <c r="L16" s="22">
        <f t="shared" ref="L16:L25" si="22">IF(K16="","",K16*H16)</f>
        <v>9.4146948941469487E-5</v>
      </c>
      <c r="M16" s="226">
        <f t="shared" ref="M16:M25" si="23">J16</f>
        <v>9.4146948941469487E-5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4"/>
      <c r="Z16" s="156"/>
      <c r="AA16" s="121"/>
      <c r="AB16" s="156"/>
      <c r="AC16" s="121"/>
      <c r="AD16" s="156"/>
      <c r="AE16" s="121"/>
      <c r="AF16" s="122"/>
      <c r="AG16" s="121"/>
      <c r="AH16" s="123"/>
      <c r="AI16" s="184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FISHING -- see worksheet Data 3</v>
      </c>
      <c r="B17" s="216">
        <f>IF([1]Summ!C1055="",0,[1]Summ!C1055)</f>
        <v>0</v>
      </c>
      <c r="C17" s="216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6">
        <f t="shared" si="23"/>
        <v>0</v>
      </c>
      <c r="N17" s="229">
        <v>6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24218.143135197181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4"/>
      <c r="Z17" s="156"/>
      <c r="AA17" s="121"/>
      <c r="AB17" s="156"/>
      <c r="AC17" s="121"/>
      <c r="AD17" s="156"/>
      <c r="AE17" s="121"/>
      <c r="AF17" s="122"/>
      <c r="AG17" s="121"/>
      <c r="AH17" s="123"/>
      <c r="AI17" s="184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WILD FOODS -- see worksheet Data 3</v>
      </c>
      <c r="B18" s="216">
        <f>IF([1]Summ!C1056="",0,[1]Summ!C1056)</f>
        <v>3.4389788293897883E-3</v>
      </c>
      <c r="C18" s="216">
        <f>IF([1]Summ!D1056="",0,[1]Summ!D1056)</f>
        <v>8.5974470734744707E-4</v>
      </c>
      <c r="D18" s="24">
        <f t="shared" si="18"/>
        <v>4.2987235367372353E-3</v>
      </c>
      <c r="E18" s="75">
        <f>Poor!E18</f>
        <v>1</v>
      </c>
      <c r="F18" s="22"/>
      <c r="H18" s="24">
        <f t="shared" si="19"/>
        <v>1</v>
      </c>
      <c r="I18" s="22">
        <f t="shared" si="20"/>
        <v>4.2987235367372353E-3</v>
      </c>
      <c r="J18" s="24">
        <f t="shared" si="17"/>
        <v>4.2987235367372353E-3</v>
      </c>
      <c r="K18" s="22">
        <f t="shared" si="21"/>
        <v>3.4389788293897883E-3</v>
      </c>
      <c r="L18" s="22">
        <f t="shared" si="22"/>
        <v>3.4389788293897883E-3</v>
      </c>
      <c r="M18" s="226">
        <f t="shared" si="23"/>
        <v>4.2987235367372353E-3</v>
      </c>
      <c r="N18" s="229">
        <v>6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5743.6065157120338</v>
      </c>
      <c r="S18" s="222">
        <f>IF($B$81=0,0,(SUMIF($N$6:$N$28,$U18,L$6:L$28)+SUMIF($N$91:$N$118,$U18,L$91:L$118))*$I$83*Poor!$B$81/$B$81)</f>
        <v>6198.4479593103833</v>
      </c>
      <c r="T18" s="222">
        <f>IF($B$81=0,0,(SUMIF($N$6:$N$28,$U18,M$6:M$28)+SUMIF($N$91:$N$118,$U18,M$91:M$118))*$I$83*Poor!$B$81/$B$81)</f>
        <v>6198.4479593103833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6">
        <f>IF([1]Summ!C1057="",0,[1]Summ!C1057)</f>
        <v>0</v>
      </c>
      <c r="C19" s="216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6">
        <f>IF([1]Summ!C1058="",0,[1]Summ!C1058)</f>
        <v>0</v>
      </c>
      <c r="C20" s="216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11008.246879635082</v>
      </c>
      <c r="S20" s="222">
        <f>IF($B$81=0,0,(SUMIF($N$6:$N$28,$U20,L$6:L$28)+SUMIF($N$91:$N$118,$U20,L$91:L$118))*$I$83*Poor!$B$81/$B$81)</f>
        <v>8496</v>
      </c>
      <c r="T20" s="222">
        <f>IF($B$81=0,0,(SUMIF($N$6:$N$28,$U20,M$6:M$28)+SUMIF($N$91:$N$118,$U20,M$91:M$118))*$I$83*Poor!$B$81/$B$81)</f>
        <v>8496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6">
        <f>IF([1]Summ!C1059="",0,[1]Summ!C1059)</f>
        <v>0</v>
      </c>
      <c r="C21" s="216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6">
        <f>IF([1]Summ!C1060="",0,[1]Summ!C1060)</f>
        <v>0</v>
      </c>
      <c r="C22" s="216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6">
        <f>IF([1]Summ!C1061="",0,[1]Summ!C1061)</f>
        <v>0</v>
      </c>
      <c r="C23" s="216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/>
      <c r="O23" s="2"/>
      <c r="P23" s="22"/>
      <c r="Q23" s="171" t="s">
        <v>100</v>
      </c>
      <c r="R23" s="179">
        <f>SUM(R7:R22)</f>
        <v>56141.66388001827</v>
      </c>
      <c r="S23" s="179">
        <f>SUM(S7:S22)</f>
        <v>21567.619540281514</v>
      </c>
      <c r="T23" s="179">
        <f>SUM(T7:T22)</f>
        <v>21596.941087565629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6">
        <f>IF([1]Summ!C1062="",0,[1]Summ!C1062)</f>
        <v>0</v>
      </c>
      <c r="C24" s="216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47494.887852133979</v>
      </c>
      <c r="S24" s="41">
        <f>IF($B$81=0,0,(SUM(($B$70*$H$70))+((1-$D$29)*$I$83))*Poor!$B$81/$B$81)</f>
        <v>47494.887852133979</v>
      </c>
      <c r="T24" s="41">
        <f>IF($B$81=0,0,(SUM(($B$70*$H$70))+((1-$D$29)*$I$83))*Poor!$B$81/$B$81)</f>
        <v>47494.887852133979</v>
      </c>
      <c r="U24" s="56"/>
      <c r="V24" s="56"/>
      <c r="W24" s="110"/>
      <c r="X24" s="118"/>
      <c r="Y24" s="184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4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6">
        <f>IF([1]Summ!C1063="",0,[1]Summ!C1063)</f>
        <v>0</v>
      </c>
      <c r="C25" s="216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63918.914518800651</v>
      </c>
      <c r="S25" s="41">
        <f>IF($B$81=0,0,(SUM(($B$70*$H$70),($B$71*$H$71))+((1-$D$29)*$I$83))*Poor!$B$81/$B$81)</f>
        <v>63918.914518800651</v>
      </c>
      <c r="T25" s="41">
        <f>IF($B$81=0,0,(SUM(($B$70*$H$70),($B$71*$H$71))+((1-$D$29)*$I$83))*Poor!$B$81/$B$81)</f>
        <v>63918.914518800651</v>
      </c>
      <c r="U25" s="56"/>
      <c r="V25" s="56"/>
      <c r="W25" s="110"/>
      <c r="X25" s="118"/>
      <c r="Y25" s="184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4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6">
        <f>IF([1]Summ!C1064="",0,[1]Summ!C1064)</f>
        <v>0.18174630332938849</v>
      </c>
      <c r="C26" s="216">
        <f>IF([1]Summ!D1064="",0,[1]Summ!D1064)</f>
        <v>0</v>
      </c>
      <c r="D26" s="24">
        <f t="shared" si="0"/>
        <v>0.18174630332938849</v>
      </c>
      <c r="E26" s="75">
        <f>Poor!E26</f>
        <v>1</v>
      </c>
      <c r="F26" s="22"/>
      <c r="H26" s="24">
        <f t="shared" si="1"/>
        <v>1</v>
      </c>
      <c r="I26" s="22">
        <f t="shared" si="2"/>
        <v>0.18174630332938849</v>
      </c>
      <c r="J26" s="24">
        <f>IF(I$32&lt;=1+I131,I26,B26*H26+J$33*(I26-B26*H26))</f>
        <v>0.18174630332938849</v>
      </c>
      <c r="K26" s="22">
        <f t="shared" si="4"/>
        <v>0.18174630332938849</v>
      </c>
      <c r="L26" s="22">
        <f t="shared" si="5"/>
        <v>0.18174630332938849</v>
      </c>
      <c r="M26" s="224">
        <f t="shared" si="6"/>
        <v>0.18174630332938849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96656.83451880065</v>
      </c>
      <c r="S26" s="41">
        <f>IF($B$81=0,0,(SUM(($B$70*$H$70),($B$71*$H$71),($B$72*$H$72))+((1-$D$29)*$I$83))*Poor!$B$81/$B$81)</f>
        <v>96656.83451880065</v>
      </c>
      <c r="T26" s="41">
        <f>IF($B$81=0,0,(SUM(($B$70*$H$70),($B$71*$H$71),($B$72*$H$72))+((1-$D$29)*$I$83))*Poor!$B$81/$B$81)</f>
        <v>96656.83451880065</v>
      </c>
      <c r="U26" s="56"/>
      <c r="V26" s="56"/>
      <c r="W26" s="110"/>
      <c r="X26" s="118"/>
      <c r="Y26" s="184">
        <f t="shared" si="9"/>
        <v>0.72698521331755395</v>
      </c>
      <c r="Z26" s="156">
        <f>Poor!Z26</f>
        <v>0.25</v>
      </c>
      <c r="AA26" s="121">
        <f t="shared" si="16"/>
        <v>0.18174630332938849</v>
      </c>
      <c r="AB26" s="156">
        <f>Poor!AB26</f>
        <v>0.25</v>
      </c>
      <c r="AC26" s="121">
        <f t="shared" si="7"/>
        <v>0.18174630332938849</v>
      </c>
      <c r="AD26" s="156">
        <f>Poor!AD26</f>
        <v>0.25</v>
      </c>
      <c r="AE26" s="121">
        <f t="shared" si="8"/>
        <v>0.18174630332938849</v>
      </c>
      <c r="AF26" s="122">
        <f t="shared" si="10"/>
        <v>0.25</v>
      </c>
      <c r="AG26" s="121">
        <f t="shared" si="11"/>
        <v>0.18174630332938849</v>
      </c>
      <c r="AH26" s="123">
        <f t="shared" si="12"/>
        <v>1</v>
      </c>
      <c r="AI26" s="184">
        <f t="shared" si="13"/>
        <v>0.18174630332938849</v>
      </c>
      <c r="AJ26" s="120">
        <f t="shared" si="14"/>
        <v>0.18174630332938849</v>
      </c>
      <c r="AK26" s="119">
        <f t="shared" si="15"/>
        <v>0.18174630332938849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6">
        <f>IF([1]Summ!C1065="",0,[1]Summ!C1065)</f>
        <v>3.314115504358655E-2</v>
      </c>
      <c r="C27" s="216">
        <f>IF([1]Summ!D1065="",0,[1]Summ!D1065)</f>
        <v>-3.314115504358655E-2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6">
        <f>IF([1]Summ!C1066="",0,[1]Summ!C1066)</f>
        <v>0</v>
      </c>
      <c r="C28" s="216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6">
        <f>IF([1]Summ!C1067="",0,[1]Summ!C1067)</f>
        <v>0.22016382954545452</v>
      </c>
      <c r="C29" s="216">
        <f>IF([1]Summ!D1067="",0,[1]Summ!D1067)</f>
        <v>4.8057198240991673E-3</v>
      </c>
      <c r="D29" s="24">
        <f>(B29+C29)</f>
        <v>0.22496954936955368</v>
      </c>
      <c r="E29" s="75">
        <f>Poor!E29</f>
        <v>1</v>
      </c>
      <c r="F29" s="22"/>
      <c r="H29" s="24">
        <f t="shared" si="1"/>
        <v>1</v>
      </c>
      <c r="I29" s="22">
        <f t="shared" si="2"/>
        <v>0.22496954936955368</v>
      </c>
      <c r="J29" s="24">
        <f>IF(I$32&lt;=1+I131,I29,B29*H29+J$33*(I29-B29*H29))</f>
        <v>0.22496954936955368</v>
      </c>
      <c r="K29" s="22">
        <f t="shared" si="4"/>
        <v>0.22016382954545452</v>
      </c>
      <c r="L29" s="22">
        <f t="shared" si="5"/>
        <v>0.22016382954545452</v>
      </c>
      <c r="M29" s="224">
        <f t="shared" si="6"/>
        <v>0.22496954936955368</v>
      </c>
      <c r="N29" s="229"/>
      <c r="P29" s="22"/>
      <c r="V29" s="56"/>
      <c r="W29" s="110"/>
      <c r="X29" s="118"/>
      <c r="Y29" s="184">
        <f t="shared" si="9"/>
        <v>0.89987819747821474</v>
      </c>
      <c r="Z29" s="156">
        <f>Poor!Z29</f>
        <v>0.25</v>
      </c>
      <c r="AA29" s="121">
        <f t="shared" si="16"/>
        <v>0.22496954936955368</v>
      </c>
      <c r="AB29" s="156">
        <f>Poor!AB29</f>
        <v>0.25</v>
      </c>
      <c r="AC29" s="121">
        <f t="shared" si="7"/>
        <v>0.22496954936955368</v>
      </c>
      <c r="AD29" s="156">
        <f>Poor!AD29</f>
        <v>0.25</v>
      </c>
      <c r="AE29" s="121">
        <f t="shared" si="8"/>
        <v>0.22496954936955368</v>
      </c>
      <c r="AF29" s="122">
        <f t="shared" si="10"/>
        <v>0.25</v>
      </c>
      <c r="AG29" s="121">
        <f t="shared" si="11"/>
        <v>0.22496954936955368</v>
      </c>
      <c r="AH29" s="123">
        <f t="shared" si="12"/>
        <v>1</v>
      </c>
      <c r="AI29" s="184">
        <f t="shared" si="13"/>
        <v>0.22496954936955368</v>
      </c>
      <c r="AJ29" s="120">
        <f t="shared" si="14"/>
        <v>0.22496954936955368</v>
      </c>
      <c r="AK29" s="119">
        <f t="shared" si="15"/>
        <v>0.22496954936955368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6">
        <f>IF([1]Summ!C1068="",0,[1]Summ!C1068)</f>
        <v>0.5826586550435866</v>
      </c>
      <c r="C30" s="103"/>
      <c r="D30" s="24">
        <f>(D119-B124)</f>
        <v>0.80036837682772421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0.5826586550435866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25927.268311852466</v>
      </c>
      <c r="T30" s="234">
        <f t="shared" si="24"/>
        <v>25897.946764568351</v>
      </c>
      <c r="U30" s="56"/>
      <c r="V30" s="56"/>
      <c r="W30" s="110"/>
      <c r="X30" s="118"/>
      <c r="Y30" s="184">
        <f>M30*4</f>
        <v>0</v>
      </c>
      <c r="Z30" s="122">
        <f>IF($Y30=0,0,AA30/($Y$30))</f>
        <v>0</v>
      </c>
      <c r="AA30" s="188">
        <f>IF(AA79*4/$I$83+SUM(AA6:AA29)&lt;1,AA79*4/$I$83,1-SUM(AA6:AA29))</f>
        <v>-0.24911342375104445</v>
      </c>
      <c r="AB30" s="122">
        <f>IF($Y30=0,0,AC30/($Y$30))</f>
        <v>0</v>
      </c>
      <c r="AC30" s="188">
        <f>IF(AC79*4/$I$83+SUM(AC6:AC29)&lt;1,AC79*4/$I$83,1-SUM(AC6:AC29))</f>
        <v>-0.24911342375104445</v>
      </c>
      <c r="AD30" s="122">
        <f>IF($Y30=0,0,AE30/($Y$30))</f>
        <v>0</v>
      </c>
      <c r="AE30" s="188">
        <f>IF(AE79*4/$I$83+SUM(AE6:AE29)&lt;1,AE79*4/$I$83,1-SUM(AE6:AE29))</f>
        <v>-0.24911342375104445</v>
      </c>
      <c r="AF30" s="122">
        <f>IF($Y30=0,0,AG30/($Y$30))</f>
        <v>0</v>
      </c>
      <c r="AG30" s="188">
        <f>IF(AG79*4/$I$83+SUM(AG6:AG29)&lt;1,AG79*4/$I$83,1-SUM(AG6:AG29))</f>
        <v>-0.24911342375104445</v>
      </c>
      <c r="AH30" s="123">
        <f t="shared" si="12"/>
        <v>0</v>
      </c>
      <c r="AI30" s="184">
        <f t="shared" si="13"/>
        <v>-0.24911342375104445</v>
      </c>
      <c r="AJ30" s="120">
        <f t="shared" si="14"/>
        <v>-0.24911342375104445</v>
      </c>
      <c r="AK30" s="119">
        <f t="shared" si="15"/>
        <v>-0.24911342375104445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6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0.57341039885772038</v>
      </c>
      <c r="K31" s="22" t="str">
        <f t="shared" si="4"/>
        <v/>
      </c>
      <c r="L31" s="22">
        <f>(1-SUM(L6:L30))</f>
        <v>0.54593470834558033</v>
      </c>
      <c r="M31" s="241">
        <f t="shared" si="6"/>
        <v>0.57341039885772038</v>
      </c>
      <c r="N31" s="167">
        <f>M31*I83</f>
        <v>19556.130999844467</v>
      </c>
      <c r="P31" s="22"/>
      <c r="Q31" s="238" t="s">
        <v>142</v>
      </c>
      <c r="R31" s="234">
        <f t="shared" si="24"/>
        <v>7777.2506387823814</v>
      </c>
      <c r="S31" s="234">
        <f t="shared" si="24"/>
        <v>42351.294978519138</v>
      </c>
      <c r="T31" s="234">
        <f>IF(T25&gt;T$23,T25-T$23,0)</f>
        <v>42321.973431235019</v>
      </c>
      <c r="U31" s="242">
        <f>T31/$B$81</f>
        <v>5290.2466789043774</v>
      </c>
      <c r="V31" s="56"/>
      <c r="W31" s="129" t="s">
        <v>84</v>
      </c>
      <c r="X31" s="130"/>
      <c r="Y31" s="121">
        <f>M31*4</f>
        <v>2.2936415954308815</v>
      </c>
      <c r="Z31" s="131"/>
      <c r="AA31" s="132">
        <f>1-AA32+IF($Y32&lt;0,$Y32/4,0)</f>
        <v>0.78948561339332279</v>
      </c>
      <c r="AB31" s="131"/>
      <c r="AC31" s="133">
        <f>1-AC32+IF($Y32&lt;0,$Y32/4,0)</f>
        <v>0.84138085125135509</v>
      </c>
      <c r="AD31" s="134"/>
      <c r="AE31" s="133">
        <f>1-AE32+IF($Y32&lt;0,$Y32/4,0)</f>
        <v>0.84006671675571365</v>
      </c>
      <c r="AF31" s="134"/>
      <c r="AG31" s="133">
        <f>1-AG32+IF($Y32&lt;0,$Y32/4,0)</f>
        <v>0.83673359097738254</v>
      </c>
      <c r="AH31" s="123"/>
      <c r="AI31" s="183">
        <f>SUM(AA31,AC31,AE31,AG31)/4</f>
        <v>0.8269166930944436</v>
      </c>
      <c r="AJ31" s="135">
        <f t="shared" si="14"/>
        <v>0.815433232322339</v>
      </c>
      <c r="AK31" s="136">
        <f t="shared" si="15"/>
        <v>0.83840015386654809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1.0842376982546686</v>
      </c>
      <c r="C32" s="77">
        <f>SUM(C6:C31)</f>
        <v>-2.7475690512139935E-2</v>
      </c>
      <c r="D32" s="24">
        <f>SUM(D6:D30)</f>
        <v>1.2744717295266663</v>
      </c>
      <c r="E32" s="2"/>
      <c r="F32" s="2"/>
      <c r="H32" s="17"/>
      <c r="I32" s="22">
        <f>SUM(I6:I30)</f>
        <v>0.42658960114227962</v>
      </c>
      <c r="J32" s="17"/>
      <c r="L32" s="22">
        <f>SUM(L6:L30)</f>
        <v>0.45406529165441961</v>
      </c>
      <c r="M32" s="23"/>
      <c r="N32" s="56"/>
      <c r="O32" s="2"/>
      <c r="P32" s="22"/>
      <c r="Q32" s="234" t="s">
        <v>143</v>
      </c>
      <c r="R32" s="234">
        <f t="shared" si="24"/>
        <v>40515.17063878238</v>
      </c>
      <c r="S32" s="234">
        <f t="shared" si="24"/>
        <v>75089.214978519129</v>
      </c>
      <c r="T32" s="234">
        <f t="shared" si="24"/>
        <v>75059.893431235017</v>
      </c>
      <c r="U32" s="56"/>
      <c r="V32" s="56"/>
      <c r="W32" s="110"/>
      <c r="X32" s="118"/>
      <c r="Y32" s="115">
        <f>SUM(Y6:Y31)</f>
        <v>3.9824285180572856</v>
      </c>
      <c r="Z32" s="137"/>
      <c r="AA32" s="138">
        <f>SUM(AA6:AA30)</f>
        <v>0.21051438660667726</v>
      </c>
      <c r="AB32" s="137"/>
      <c r="AC32" s="139">
        <f>SUM(AC6:AC30)</f>
        <v>0.15861914874864491</v>
      </c>
      <c r="AD32" s="137"/>
      <c r="AE32" s="139">
        <f>SUM(AE6:AE30)</f>
        <v>0.1599332832442863</v>
      </c>
      <c r="AF32" s="137"/>
      <c r="AG32" s="139">
        <f>SUM(AG6:AG30)</f>
        <v>0.16326640902261752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-22.526778020949621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22765.842431390549</v>
      </c>
      <c r="O34" s="2"/>
      <c r="P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7">
        <f>IF([1]Summ!C1072="",0,[1]Summ!C1072)</f>
        <v>0</v>
      </c>
      <c r="C37" s="217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3"/>
      <c r="S37" s="253"/>
      <c r="T37" s="29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7">
        <f>IF([1]Summ!C1073="",0,[1]Summ!C1073)</f>
        <v>0</v>
      </c>
      <c r="C38" s="217">
        <f>IF([1]Summ!D1073="",0,[1]Summ!D1073)</f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3"/>
      <c r="S38" s="253"/>
      <c r="T38" s="29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Chicken/ duck sales: no. sold</v>
      </c>
      <c r="B39" s="217">
        <f>IF([1]Summ!C1074="",0,[1]Summ!C1074)</f>
        <v>0</v>
      </c>
      <c r="C39" s="217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3"/>
      <c r="S39" s="253"/>
      <c r="T39" s="29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7">
        <f>IF([1]Summ!C1075="",0,[1]Summ!C1075)</f>
        <v>0</v>
      </c>
      <c r="C40" s="217">
        <f>IF([1]Summ!D1075="",0,[1]Summ!D1075)</f>
        <v>0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3"/>
      <c r="S40" s="253"/>
      <c r="T40" s="29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Beans: kg produced</v>
      </c>
      <c r="B41" s="217">
        <f>IF([1]Summ!C1076="",0,[1]Summ!C1076)</f>
        <v>0</v>
      </c>
      <c r="C41" s="217">
        <f>IF([1]Summ!D1076="",0,[1]Summ!D1076)</f>
        <v>0</v>
      </c>
      <c r="D41" s="38">
        <f t="shared" si="25"/>
        <v>0</v>
      </c>
      <c r="E41" s="75">
        <f>Poor!E41</f>
        <v>0.2</v>
      </c>
      <c r="F41" s="75">
        <f>Poor!F41</f>
        <v>1.4</v>
      </c>
      <c r="G41" s="75">
        <f>Poor!G41</f>
        <v>1.65</v>
      </c>
      <c r="H41" s="24">
        <f t="shared" si="30"/>
        <v>0.27999999999999997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3"/>
      <c r="S41" s="253"/>
      <c r="T41" s="254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Amadumbe: kg produced</v>
      </c>
      <c r="B42" s="217">
        <f>IF([1]Summ!C1077="",0,[1]Summ!C1077)</f>
        <v>0</v>
      </c>
      <c r="C42" s="217">
        <f>IF([1]Summ!D1077="",0,[1]Summ!D1077)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5"/>
      <c r="T42" s="255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Potatoes: kg produced</v>
      </c>
      <c r="B43" s="217">
        <f>IF([1]Summ!C1078="",0,[1]Summ!C1078)</f>
        <v>0</v>
      </c>
      <c r="C43" s="217">
        <f>IF([1]Summ!D1078="",0,[1]Summ!D1078)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Sweet Potatoes: kg produced</v>
      </c>
      <c r="B44" s="217">
        <f>IF([1]Summ!C1079="",0,[1]Summ!C1079)</f>
        <v>0</v>
      </c>
      <c r="C44" s="217">
        <f>IF([1]Summ!D1079="",0,[1]Summ!D1079)</f>
        <v>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Other crop: Cabbage</v>
      </c>
      <c r="B45" s="217">
        <f>IF([1]Summ!C1080="",0,[1]Summ!C1080)</f>
        <v>0</v>
      </c>
      <c r="C45" s="217">
        <f>IF([1]Summ!D1080="",0,[1]Summ!D1080)</f>
        <v>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6"/>
      <c r="S45" s="41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Other crop: Spinach: no produced</v>
      </c>
      <c r="B46" s="217">
        <f>IF([1]Summ!C1081="",0,[1]Summ!C1081)</f>
        <v>48</v>
      </c>
      <c r="C46" s="217">
        <f>IF([1]Summ!D1081="",0,[1]Summ!D1081)</f>
        <v>0</v>
      </c>
      <c r="D46" s="38">
        <f t="shared" si="25"/>
        <v>48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13.439999999999998</v>
      </c>
      <c r="J46" s="38">
        <f t="shared" si="32"/>
        <v>13.439999999999998</v>
      </c>
      <c r="K46" s="40">
        <f t="shared" si="33"/>
        <v>1.5195643915410916E-3</v>
      </c>
      <c r="L46" s="22">
        <f t="shared" si="34"/>
        <v>4.254780296315056E-4</v>
      </c>
      <c r="M46" s="24">
        <f t="shared" si="35"/>
        <v>4.2547802963150555E-4</v>
      </c>
      <c r="N46" s="2"/>
      <c r="O46" s="2"/>
      <c r="P46" s="2"/>
      <c r="Q46" s="256"/>
      <c r="S46" s="41"/>
      <c r="V46" s="56"/>
      <c r="W46" s="110"/>
      <c r="X46" s="118"/>
      <c r="Y46" s="110"/>
      <c r="Z46" s="156">
        <f>Poor!Z46</f>
        <v>0.25</v>
      </c>
      <c r="AA46" s="147">
        <f t="shared" si="40"/>
        <v>3.3599999999999994</v>
      </c>
      <c r="AB46" s="156">
        <f>Poor!AB46</f>
        <v>0.25</v>
      </c>
      <c r="AC46" s="147">
        <f t="shared" si="41"/>
        <v>3.3599999999999994</v>
      </c>
      <c r="AD46" s="156">
        <f>Poor!AD46</f>
        <v>0.25</v>
      </c>
      <c r="AE46" s="147">
        <f t="shared" si="42"/>
        <v>3.3599999999999994</v>
      </c>
      <c r="AF46" s="122">
        <f t="shared" si="29"/>
        <v>0.25</v>
      </c>
      <c r="AG46" s="147">
        <f t="shared" si="36"/>
        <v>3.3599999999999994</v>
      </c>
      <c r="AH46" s="123">
        <f t="shared" si="37"/>
        <v>1</v>
      </c>
      <c r="AI46" s="112">
        <f t="shared" si="37"/>
        <v>13.439999999999998</v>
      </c>
      <c r="AJ46" s="148">
        <f t="shared" si="38"/>
        <v>6.7199999999999989</v>
      </c>
      <c r="AK46" s="147">
        <f t="shared" si="39"/>
        <v>6.7199999999999989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Other cashcrop: sugar cane (tons)</v>
      </c>
      <c r="B47" s="217">
        <f>IF([1]Summ!C1082="",0,[1]Summ!C1082)</f>
        <v>0</v>
      </c>
      <c r="C47" s="217">
        <f>IF([1]Summ!D1082="",0,[1]Summ!D1082)</f>
        <v>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4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Agricultural cash income -- see Data2</v>
      </c>
      <c r="B48" s="217">
        <f>IF([1]Summ!C1083="",0,[1]Summ!C1083)</f>
        <v>700</v>
      </c>
      <c r="C48" s="217">
        <f>IF([1]Summ!D1083="",0,[1]Summ!D1083)</f>
        <v>0</v>
      </c>
      <c r="D48" s="38">
        <f t="shared" si="25"/>
        <v>700</v>
      </c>
      <c r="E48" s="75">
        <f>Poor!E48</f>
        <v>0.5</v>
      </c>
      <c r="F48" s="75">
        <f>Poor!F48</f>
        <v>1.1100000000000001</v>
      </c>
      <c r="G48" s="75">
        <f>Poor!G48</f>
        <v>1.65</v>
      </c>
      <c r="H48" s="24">
        <f t="shared" si="30"/>
        <v>0.55500000000000005</v>
      </c>
      <c r="I48" s="39">
        <f t="shared" si="31"/>
        <v>388.50000000000006</v>
      </c>
      <c r="J48" s="38">
        <f t="shared" si="32"/>
        <v>388.5</v>
      </c>
      <c r="K48" s="40">
        <f t="shared" si="33"/>
        <v>2.2160314043307584E-2</v>
      </c>
      <c r="L48" s="22">
        <f t="shared" si="34"/>
        <v>1.229897429403571E-2</v>
      </c>
      <c r="M48" s="24">
        <f t="shared" si="35"/>
        <v>1.229897429403571E-2</v>
      </c>
      <c r="N48" s="2"/>
      <c r="O48" s="2"/>
      <c r="P48" s="2"/>
      <c r="Q48" s="256"/>
      <c r="R48" s="253"/>
      <c r="S48" s="41"/>
      <c r="T48" s="29"/>
      <c r="V48" s="56"/>
      <c r="W48" s="110"/>
      <c r="X48" s="118"/>
      <c r="Y48" s="110"/>
      <c r="Z48" s="156">
        <f>Poor!Z48</f>
        <v>0.25</v>
      </c>
      <c r="AA48" s="147">
        <f t="shared" si="40"/>
        <v>97.125</v>
      </c>
      <c r="AB48" s="156">
        <f>Poor!AB48</f>
        <v>0.25</v>
      </c>
      <c r="AC48" s="147">
        <f t="shared" si="41"/>
        <v>97.125</v>
      </c>
      <c r="AD48" s="156">
        <f>Poor!AD48</f>
        <v>0.25</v>
      </c>
      <c r="AE48" s="147">
        <f t="shared" si="42"/>
        <v>97.125</v>
      </c>
      <c r="AF48" s="122">
        <f t="shared" si="29"/>
        <v>0.25</v>
      </c>
      <c r="AG48" s="147">
        <f t="shared" si="36"/>
        <v>97.125</v>
      </c>
      <c r="AH48" s="123">
        <f t="shared" si="37"/>
        <v>1</v>
      </c>
      <c r="AI48" s="112">
        <f t="shared" si="37"/>
        <v>388.5</v>
      </c>
      <c r="AJ48" s="148">
        <f t="shared" si="38"/>
        <v>194.25</v>
      </c>
      <c r="AK48" s="147">
        <f t="shared" si="39"/>
        <v>194.25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Domestic work cash income -- see Data2</v>
      </c>
      <c r="B49" s="217">
        <f>IF([1]Summ!C1084="",0,[1]Summ!C1084)</f>
        <v>3960</v>
      </c>
      <c r="C49" s="217">
        <f>IF([1]Summ!D1084="",0,[1]Summ!D1084)</f>
        <v>0</v>
      </c>
      <c r="D49" s="38">
        <f t="shared" si="25"/>
        <v>3960</v>
      </c>
      <c r="E49" s="75">
        <f>Poor!E49</f>
        <v>0.5</v>
      </c>
      <c r="F49" s="75">
        <f>Poor!F49</f>
        <v>1.1100000000000001</v>
      </c>
      <c r="G49" s="75">
        <f>Poor!G49</f>
        <v>1.65</v>
      </c>
      <c r="H49" s="24">
        <f t="shared" si="30"/>
        <v>0.55500000000000005</v>
      </c>
      <c r="I49" s="39">
        <f t="shared" si="31"/>
        <v>2197.8000000000002</v>
      </c>
      <c r="J49" s="38">
        <f t="shared" si="32"/>
        <v>2197.8000000000002</v>
      </c>
      <c r="K49" s="40">
        <f t="shared" si="33"/>
        <v>0.12536406230214006</v>
      </c>
      <c r="L49" s="22">
        <f t="shared" si="34"/>
        <v>6.9577054577687744E-2</v>
      </c>
      <c r="M49" s="24">
        <f t="shared" si="35"/>
        <v>6.957705457768773E-2</v>
      </c>
      <c r="N49" s="2"/>
      <c r="O49" s="2"/>
      <c r="P49" s="2"/>
      <c r="Q49" s="256"/>
      <c r="R49" s="253"/>
      <c r="S49" s="41"/>
      <c r="T49" s="29"/>
      <c r="V49" s="56"/>
      <c r="W49" s="110"/>
      <c r="X49" s="118"/>
      <c r="Y49" s="110"/>
      <c r="Z49" s="156">
        <f>Poor!Z49</f>
        <v>0.25</v>
      </c>
      <c r="AA49" s="147">
        <f t="shared" si="40"/>
        <v>549.45000000000005</v>
      </c>
      <c r="AB49" s="156">
        <f>Poor!AB49</f>
        <v>0.25</v>
      </c>
      <c r="AC49" s="147">
        <f t="shared" si="41"/>
        <v>549.45000000000005</v>
      </c>
      <c r="AD49" s="156">
        <f>Poor!AD49</f>
        <v>0.25</v>
      </c>
      <c r="AE49" s="147">
        <f t="shared" si="42"/>
        <v>549.45000000000005</v>
      </c>
      <c r="AF49" s="122">
        <f t="shared" si="29"/>
        <v>0.25</v>
      </c>
      <c r="AG49" s="147">
        <f t="shared" si="36"/>
        <v>549.45000000000005</v>
      </c>
      <c r="AH49" s="123">
        <f t="shared" si="37"/>
        <v>1</v>
      </c>
      <c r="AI49" s="112">
        <f t="shared" si="37"/>
        <v>2197.8000000000002</v>
      </c>
      <c r="AJ49" s="148">
        <f t="shared" si="38"/>
        <v>1098.9000000000001</v>
      </c>
      <c r="AK49" s="147">
        <f t="shared" si="39"/>
        <v>1098.9000000000001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Formal Employment (conservancies, etc.)</v>
      </c>
      <c r="B50" s="217">
        <f>IF([1]Summ!C1085="",0,[1]Summ!C1085)</f>
        <v>0</v>
      </c>
      <c r="C50" s="217">
        <f>IF([1]Summ!D1085="",0,[1]Summ!D1085)</f>
        <v>0</v>
      </c>
      <c r="D50" s="38">
        <f t="shared" si="25"/>
        <v>0</v>
      </c>
      <c r="E50" s="75">
        <f>Poor!E50</f>
        <v>0.6</v>
      </c>
      <c r="F50" s="75">
        <f>Poor!F50</f>
        <v>1.18</v>
      </c>
      <c r="G50" s="75">
        <f>Poor!G50</f>
        <v>1.65</v>
      </c>
      <c r="H50" s="24">
        <f t="shared" si="30"/>
        <v>0.70799999999999996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6"/>
      <c r="R50" s="253"/>
      <c r="S50" s="41"/>
      <c r="T50" s="29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Small business -- see Data2</v>
      </c>
      <c r="B51" s="217">
        <f>IF([1]Summ!C1086="",0,[1]Summ!C1086)</f>
        <v>3840</v>
      </c>
      <c r="C51" s="217">
        <f>IF([1]Summ!D1086="",0,[1]Summ!D1086)</f>
        <v>0</v>
      </c>
      <c r="D51" s="38">
        <f t="shared" si="25"/>
        <v>3840</v>
      </c>
      <c r="E51" s="75">
        <f>Poor!E51</f>
        <v>0.8</v>
      </c>
      <c r="F51" s="75">
        <f>Poor!F51</f>
        <v>1.18</v>
      </c>
      <c r="G51" s="75">
        <f>Poor!G51</f>
        <v>1.65</v>
      </c>
      <c r="H51" s="24">
        <f t="shared" si="30"/>
        <v>0.94399999999999995</v>
      </c>
      <c r="I51" s="39">
        <f t="shared" si="31"/>
        <v>3624.96</v>
      </c>
      <c r="J51" s="38">
        <f t="shared" si="32"/>
        <v>3624.96</v>
      </c>
      <c r="K51" s="40">
        <f t="shared" si="33"/>
        <v>0.12156515132328732</v>
      </c>
      <c r="L51" s="22">
        <f t="shared" si="34"/>
        <v>0.11475750284918322</v>
      </c>
      <c r="M51" s="24">
        <f t="shared" si="35"/>
        <v>0.11475750284918323</v>
      </c>
      <c r="N51" s="2"/>
      <c r="O51" s="2"/>
      <c r="P51" s="2"/>
      <c r="Q51" s="256"/>
      <c r="R51" s="253"/>
      <c r="S51" s="41"/>
      <c r="T51" s="29"/>
      <c r="V51" s="56"/>
      <c r="W51" s="110"/>
      <c r="X51" s="118"/>
      <c r="Y51" s="110"/>
      <c r="Z51" s="156">
        <f>Poor!Z56</f>
        <v>0.25</v>
      </c>
      <c r="AA51" s="147">
        <f t="shared" si="40"/>
        <v>906.24</v>
      </c>
      <c r="AB51" s="156">
        <f>Poor!AB56</f>
        <v>0.25</v>
      </c>
      <c r="AC51" s="147">
        <f t="shared" si="41"/>
        <v>906.24</v>
      </c>
      <c r="AD51" s="156">
        <f>Poor!AD56</f>
        <v>0.25</v>
      </c>
      <c r="AE51" s="147">
        <f t="shared" si="42"/>
        <v>906.24</v>
      </c>
      <c r="AF51" s="122">
        <f t="shared" si="29"/>
        <v>0.25</v>
      </c>
      <c r="AG51" s="147">
        <f t="shared" si="36"/>
        <v>906.24</v>
      </c>
      <c r="AH51" s="123">
        <f t="shared" si="37"/>
        <v>1</v>
      </c>
      <c r="AI51" s="112">
        <f t="shared" si="37"/>
        <v>3624.96</v>
      </c>
      <c r="AJ51" s="148">
        <f t="shared" si="38"/>
        <v>1812.48</v>
      </c>
      <c r="AK51" s="147">
        <f t="shared" si="39"/>
        <v>1812.48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Social development -- see Data2</v>
      </c>
      <c r="B52" s="217">
        <f>IF([1]Summ!C1087="",0,[1]Summ!C1087)</f>
        <v>15840</v>
      </c>
      <c r="C52" s="217">
        <f>IF([1]Summ!D1087="",0,[1]Summ!D1087)</f>
        <v>0</v>
      </c>
      <c r="D52" s="38">
        <f t="shared" si="25"/>
        <v>15840</v>
      </c>
      <c r="E52" s="75">
        <f>Poor!E52</f>
        <v>0</v>
      </c>
      <c r="F52" s="75">
        <f>Poor!F52</f>
        <v>1.18</v>
      </c>
      <c r="G52" s="75">
        <f>Poor!G52</f>
        <v>1.65</v>
      </c>
      <c r="H52" s="24">
        <f t="shared" si="30"/>
        <v>0</v>
      </c>
      <c r="I52" s="39">
        <f t="shared" si="31"/>
        <v>0</v>
      </c>
      <c r="J52" s="38">
        <f t="shared" si="32"/>
        <v>0</v>
      </c>
      <c r="K52" s="40">
        <f t="shared" si="33"/>
        <v>0.50145624920856025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Public works -- see Data2</v>
      </c>
      <c r="B53" s="217">
        <f>IF([1]Summ!C1088="",0,[1]Summ!C1088)</f>
        <v>7200</v>
      </c>
      <c r="C53" s="217">
        <f>IF([1]Summ!D1088="",0,[1]Summ!D1088)</f>
        <v>0</v>
      </c>
      <c r="D53" s="38">
        <f t="shared" si="25"/>
        <v>7200</v>
      </c>
      <c r="E53" s="75">
        <f>Poor!E53</f>
        <v>1</v>
      </c>
      <c r="F53" s="75">
        <f>Poor!F53</f>
        <v>1.18</v>
      </c>
      <c r="G53" s="75">
        <f>Poor!G53</f>
        <v>1.65</v>
      </c>
      <c r="H53" s="24">
        <f t="shared" si="30"/>
        <v>1.18</v>
      </c>
      <c r="I53" s="39">
        <f t="shared" si="31"/>
        <v>8496</v>
      </c>
      <c r="J53" s="38">
        <f t="shared" si="32"/>
        <v>8496</v>
      </c>
      <c r="K53" s="40">
        <f t="shared" si="33"/>
        <v>0.22793465873116373</v>
      </c>
      <c r="L53" s="22">
        <f t="shared" si="34"/>
        <v>0.26896289730277317</v>
      </c>
      <c r="M53" s="24">
        <f t="shared" si="35"/>
        <v>0.26896289730277323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Gifts/social support: type</v>
      </c>
      <c r="B54" s="217">
        <f>IF([1]Summ!C1089="",0,[1]Summ!C1089)</f>
        <v>0</v>
      </c>
      <c r="C54" s="217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Other income: e.g. Credit (cotton loans)</v>
      </c>
      <c r="B55" s="217">
        <f>IF([1]Summ!C1090="",0,[1]Summ!C1090)</f>
        <v>0</v>
      </c>
      <c r="C55" s="217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Remittances: no. times per year</v>
      </c>
      <c r="B56" s="217">
        <f>IF([1]Summ!C1091="",0,[1]Summ!C1091)</f>
        <v>0</v>
      </c>
      <c r="C56" s="217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1.1100000000000001</v>
      </c>
      <c r="G56" s="75">
        <f>Poor!G56</f>
        <v>1.65</v>
      </c>
      <c r="H56" s="24">
        <f t="shared" si="30"/>
        <v>1.1100000000000001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7">
        <f>IF([1]Summ!C1092="",0,[1]Summ!C1092)</f>
        <v>0</v>
      </c>
      <c r="C57" s="217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7">
        <f>IF([1]Summ!C1093="",0,[1]Summ!C1093)</f>
        <v>0</v>
      </c>
      <c r="C58" s="217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7">
        <f>IF([1]Summ!C1094="",0,[1]Summ!C1094)</f>
        <v>0</v>
      </c>
      <c r="C59" s="217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7">
        <f>IF([1]Summ!C1095="",0,[1]Summ!C1095)</f>
        <v>0</v>
      </c>
      <c r="C60" s="217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7">
        <f>IF([1]Summ!C1096="",0,[1]Summ!C1096)</f>
        <v>0</v>
      </c>
      <c r="C61" s="217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7">
        <f>IF([1]Summ!C1097="",0,[1]Summ!C1097)</f>
        <v>0</v>
      </c>
      <c r="C62" s="217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7">
        <f>IF([1]Summ!C1098="",0,[1]Summ!C1098)</f>
        <v>0</v>
      </c>
      <c r="C63" s="217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7">
        <f>IF([1]Summ!C1099="",0,[1]Summ!C1099)</f>
        <v>0</v>
      </c>
      <c r="C64" s="217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31588</v>
      </c>
      <c r="C65" s="39">
        <f>SUM(C37:C64)</f>
        <v>0</v>
      </c>
      <c r="D65" s="42">
        <f>SUM(D37:D64)</f>
        <v>31588</v>
      </c>
      <c r="E65" s="32"/>
      <c r="F65" s="32"/>
      <c r="G65" s="32"/>
      <c r="H65" s="31"/>
      <c r="I65" s="39">
        <f>SUM(I37:I64)</f>
        <v>14720.7</v>
      </c>
      <c r="J65" s="39">
        <f>SUM(J37:J64)</f>
        <v>14720.7</v>
      </c>
      <c r="K65" s="40">
        <f>SUM(K37:K64)</f>
        <v>1</v>
      </c>
      <c r="L65" s="22">
        <f>SUM(L37:L64)</f>
        <v>0.46602190705331137</v>
      </c>
      <c r="M65" s="24">
        <f>SUM(M37:M64)</f>
        <v>0.46602190705331142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1556.1750000000002</v>
      </c>
      <c r="AB65" s="137"/>
      <c r="AC65" s="153">
        <f>SUM(AC37:AC64)</f>
        <v>1556.1750000000002</v>
      </c>
      <c r="AD65" s="137"/>
      <c r="AE65" s="153">
        <f>SUM(AE37:AE64)</f>
        <v>1556.1750000000002</v>
      </c>
      <c r="AF65" s="137"/>
      <c r="AG65" s="153">
        <f>SUM(AG37:AG64)</f>
        <v>1556.1750000000002</v>
      </c>
      <c r="AH65" s="137"/>
      <c r="AI65" s="153">
        <f>SUM(AI37:AI64)</f>
        <v>6224.7000000000007</v>
      </c>
      <c r="AJ65" s="153">
        <f>SUM(AJ37:AJ64)</f>
        <v>3112.3500000000004</v>
      </c>
      <c r="AK65" s="153">
        <f>SUM(AK37:AK64)</f>
        <v>3112.3500000000004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15044.654117659915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14720.699999999999</v>
      </c>
      <c r="J70" s="51">
        <f t="shared" ref="J70:J77" si="44">J124*I$83</f>
        <v>14720.699999999999</v>
      </c>
      <c r="K70" s="40">
        <f>B70/B$76</f>
        <v>0.47627751417183473</v>
      </c>
      <c r="L70" s="22">
        <f t="shared" ref="L70:L74" si="45">(L124*G$37*F$9/F$7)/B$130</f>
        <v>0.46602190705331142</v>
      </c>
      <c r="M70" s="24">
        <f>J70/B$76</f>
        <v>0.46602190705331137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3680.1749999999997</v>
      </c>
      <c r="AB70" s="156">
        <f>Poor!AB70</f>
        <v>0.25</v>
      </c>
      <c r="AC70" s="147">
        <f>$J70*AB70</f>
        <v>3680.1749999999997</v>
      </c>
      <c r="AD70" s="156">
        <f>Poor!AD70</f>
        <v>0.25</v>
      </c>
      <c r="AE70" s="147">
        <f>$J70*AD70</f>
        <v>3680.1749999999997</v>
      </c>
      <c r="AF70" s="156">
        <f>Poor!AF70</f>
        <v>0.25</v>
      </c>
      <c r="AG70" s="147">
        <f>$J70*AF70</f>
        <v>3680.1749999999997</v>
      </c>
      <c r="AH70" s="155">
        <f>SUM(Z70,AB70,AD70,AF70)</f>
        <v>1</v>
      </c>
      <c r="AI70" s="147">
        <f>SUM(AA70,AC70,AE70,AG70)</f>
        <v>14720.699999999999</v>
      </c>
      <c r="AJ70" s="148">
        <f>(AA70+AC70)</f>
        <v>7360.3499999999995</v>
      </c>
      <c r="AK70" s="147">
        <f>(AE70+AG70)</f>
        <v>7360.3499999999995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13918.666666666668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0.44063146342492931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0.8783082183107509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2110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6.6797518044827156E-2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224.08199999999997</v>
      </c>
      <c r="AB73" s="156">
        <f>Poor!AB73</f>
        <v>0.09</v>
      </c>
      <c r="AC73" s="147">
        <f>$H$73*$B$73*AB73</f>
        <v>224.08199999999997</v>
      </c>
      <c r="AD73" s="156">
        <f>Poor!AD73</f>
        <v>0.23</v>
      </c>
      <c r="AE73" s="147">
        <f>$H$73*$B$73*AD73</f>
        <v>572.654</v>
      </c>
      <c r="AF73" s="156">
        <f>Poor!AF73</f>
        <v>0.59</v>
      </c>
      <c r="AG73" s="147">
        <f>$H$73*$B$73*AF73</f>
        <v>1468.9819999999997</v>
      </c>
      <c r="AH73" s="155">
        <f>SUM(Z73,AB73,AD73,AF73)</f>
        <v>1</v>
      </c>
      <c r="AI73" s="147">
        <f>SUM(AA73,AC73,AE73,AG73)</f>
        <v>2489.7999999999997</v>
      </c>
      <c r="AJ73" s="148">
        <f>(AA73+AC73)</f>
        <v>448.16399999999993</v>
      </c>
      <c r="AK73" s="147">
        <f>(AE73+AG73)</f>
        <v>2041.6359999999997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12043.358959195744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0.3812637381029424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-2123.9999999999995</v>
      </c>
      <c r="AB74" s="156"/>
      <c r="AC74" s="147">
        <f>AC30*$I$83/4</f>
        <v>-2123.9999999999995</v>
      </c>
      <c r="AD74" s="156"/>
      <c r="AE74" s="147">
        <f>AE30*$I$83/4</f>
        <v>-2123.9999999999995</v>
      </c>
      <c r="AF74" s="156"/>
      <c r="AG74" s="147">
        <f>AG30*$I$83/4</f>
        <v>-2123.9999999999995</v>
      </c>
      <c r="AH74" s="155"/>
      <c r="AI74" s="147">
        <f>SUM(AA74,AC74,AE74,AG74)</f>
        <v>-8495.9999999999982</v>
      </c>
      <c r="AJ74" s="148">
        <f>(AA74+AC74)</f>
        <v>-4247.9999999999991</v>
      </c>
      <c r="AK74" s="147">
        <f>(AE74+AG74)</f>
        <v>-4247.9999999999991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31588</v>
      </c>
      <c r="C76" s="39"/>
      <c r="D76" s="38"/>
      <c r="E76" s="32"/>
      <c r="F76" s="32"/>
      <c r="G76" s="32"/>
      <c r="H76" s="31"/>
      <c r="I76" s="39">
        <f>I130*I$83</f>
        <v>14720.699999999999</v>
      </c>
      <c r="J76" s="51">
        <f t="shared" si="44"/>
        <v>14720.699999999999</v>
      </c>
      <c r="K76" s="40">
        <f>SUM(K70:K75)</f>
        <v>2.2432784520552844</v>
      </c>
      <c r="L76" s="22">
        <f>SUM(L70:L75)</f>
        <v>0.46602190705331142</v>
      </c>
      <c r="M76" s="24">
        <f>SUM(M70:M75)</f>
        <v>0.46602190705331137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1556.1750000000002</v>
      </c>
      <c r="AB76" s="137"/>
      <c r="AC76" s="153">
        <f>AC65</f>
        <v>1556.1750000000002</v>
      </c>
      <c r="AD76" s="137"/>
      <c r="AE76" s="153">
        <f>AE65</f>
        <v>1556.1750000000002</v>
      </c>
      <c r="AF76" s="137"/>
      <c r="AG76" s="153">
        <f>AG65</f>
        <v>1556.1750000000002</v>
      </c>
      <c r="AH76" s="137"/>
      <c r="AI76" s="153">
        <f>SUM(AA76,AC76,AE76,AG76)</f>
        <v>6224.7000000000007</v>
      </c>
      <c r="AJ76" s="154">
        <f>SUM(AA76,AC76)</f>
        <v>3112.3500000000004</v>
      </c>
      <c r="AK76" s="154">
        <f>SUM(AE76,AG76)</f>
        <v>3112.3500000000004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22765.842431390549</v>
      </c>
      <c r="J77" s="100">
        <f t="shared" si="44"/>
        <v>22765.842431390549</v>
      </c>
      <c r="K77" s="40"/>
      <c r="L77" s="22">
        <f>-(L131*G$37*F$9/F$7)/B$130</f>
        <v>-0.72071173962867385</v>
      </c>
      <c r="M77" s="24">
        <f>-J77/B$76</f>
        <v>-0.72071173962867385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6731.3411601745793</v>
      </c>
      <c r="AB77" s="112"/>
      <c r="AC77" s="111">
        <f>AC31*$I$83/4</f>
        <v>7173.8122384116805</v>
      </c>
      <c r="AD77" s="112"/>
      <c r="AE77" s="111">
        <f>AE31*$I$83/4</f>
        <v>7162.6076167308684</v>
      </c>
      <c r="AF77" s="112"/>
      <c r="AG77" s="111">
        <f>AG31*$I$83/4</f>
        <v>7134.1885976086778</v>
      </c>
      <c r="AH77" s="110"/>
      <c r="AI77" s="154">
        <f>SUM(AA77,AC77,AE77,AG77)</f>
        <v>28201.949612925804</v>
      </c>
      <c r="AJ77" s="153">
        <f>SUM(AA77,AC77)</f>
        <v>13905.153398586259</v>
      </c>
      <c r="AK77" s="160">
        <f>SUM(AE77,AG77)</f>
        <v>14296.796214339545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-2123.9999999999995</v>
      </c>
      <c r="AB79" s="112"/>
      <c r="AC79" s="112">
        <f>AA79-AA74+AC65-AC70</f>
        <v>-2123.9999999999995</v>
      </c>
      <c r="AD79" s="112"/>
      <c r="AE79" s="112">
        <f>AC79-AC74+AE65-AE70</f>
        <v>-2123.9999999999995</v>
      </c>
      <c r="AF79" s="112"/>
      <c r="AG79" s="112">
        <f>AE79-AE74+AG65-AG70</f>
        <v>-2123.9999999999995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0.68362752198526333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10.354545454545455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20669.664571094072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34104.946542305217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8526.2366355763043</v>
      </c>
      <c r="AB83" s="112"/>
      <c r="AC83" s="165">
        <f>$I$83*AB82/4</f>
        <v>8526.2366355763043</v>
      </c>
      <c r="AD83" s="112"/>
      <c r="AE83" s="165">
        <f>$I$83*AD82/4</f>
        <v>8526.2366355763043</v>
      </c>
      <c r="AF83" s="112"/>
      <c r="AG83" s="165">
        <f>$I$83*AF82/4</f>
        <v>8526.2366355763043</v>
      </c>
      <c r="AH83" s="165">
        <f>SUM(AA83,AC83,AE83,AG83)</f>
        <v>34104.946542305217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31064.273564575124</v>
      </c>
      <c r="C84" s="46"/>
      <c r="D84" s="235"/>
      <c r="E84" s="64"/>
      <c r="F84" s="64"/>
      <c r="G84" s="64"/>
      <c r="H84" s="236">
        <f>IF(B84=0,0,I84/B84)</f>
        <v>1.5289231777270946</v>
      </c>
      <c r="I84" s="234">
        <f>(B70*H70)+((1-(D29*H29))*I83)</f>
        <v>47494.887852133979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7">
        <f t="shared" si="49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Chicken/ duck sales: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0.7151515151515152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0.25454545454545457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Beans: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0.16969696969696968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Amadumbe: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Potatoes: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Sweet Potatoes: kg produced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0.16969696969696968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Other crop: Cabbage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0.16969696969696968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Other crop: Spinach: no produced</v>
      </c>
      <c r="B100" s="75">
        <f t="shared" si="51"/>
        <v>2.322243780730076E-3</v>
      </c>
      <c r="C100" s="75">
        <f t="shared" si="51"/>
        <v>0</v>
      </c>
      <c r="D100" s="24">
        <f t="shared" si="52"/>
        <v>2.322243780730076E-3</v>
      </c>
      <c r="H100" s="24">
        <f t="shared" si="53"/>
        <v>0.16969696969696968</v>
      </c>
      <c r="I100" s="22">
        <f t="shared" si="54"/>
        <v>3.9407773248752799E-4</v>
      </c>
      <c r="J100" s="24">
        <f>IF(I$32&lt;=1+I131,I100,L100+J$33*(I100-L100))</f>
        <v>3.9407773248752799E-4</v>
      </c>
      <c r="K100" s="22">
        <f t="shared" si="56"/>
        <v>2.322243780730076E-3</v>
      </c>
      <c r="L100" s="22">
        <f t="shared" si="57"/>
        <v>3.9407773248752799E-4</v>
      </c>
      <c r="M100" s="228">
        <f t="shared" si="49"/>
        <v>3.9407773248752799E-4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Other cashcrop: sugar cane (tons)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0.16969696969696968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Agricultural cash income -- see Data2</v>
      </c>
      <c r="B102" s="75">
        <f t="shared" si="51"/>
        <v>3.3866055135646937E-2</v>
      </c>
      <c r="C102" s="75">
        <f t="shared" si="51"/>
        <v>0</v>
      </c>
      <c r="D102" s="24">
        <f t="shared" si="52"/>
        <v>3.3866055135646937E-2</v>
      </c>
      <c r="H102" s="24">
        <f t="shared" si="53"/>
        <v>0.33636363636363642</v>
      </c>
      <c r="I102" s="22">
        <f t="shared" si="54"/>
        <v>1.1391309454717608E-2</v>
      </c>
      <c r="J102" s="24">
        <f>IF(I$32&lt;=1+I131,I102,L102+J$33*(I102-L102))</f>
        <v>1.1391309454717608E-2</v>
      </c>
      <c r="K102" s="22">
        <f t="shared" si="56"/>
        <v>3.3866055135646937E-2</v>
      </c>
      <c r="L102" s="22">
        <f t="shared" si="57"/>
        <v>1.1391309454717608E-2</v>
      </c>
      <c r="M102" s="228">
        <f t="shared" si="49"/>
        <v>1.1391309454717608E-2</v>
      </c>
      <c r="N102" s="229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Domestic work cash income -- see Data2</v>
      </c>
      <c r="B103" s="75">
        <f t="shared" si="51"/>
        <v>0.19158511191023125</v>
      </c>
      <c r="C103" s="75">
        <f t="shared" si="51"/>
        <v>0</v>
      </c>
      <c r="D103" s="24">
        <f t="shared" si="52"/>
        <v>0.19158511191023125</v>
      </c>
      <c r="H103" s="24">
        <f t="shared" si="53"/>
        <v>0.33636363636363642</v>
      </c>
      <c r="I103" s="22">
        <f t="shared" si="54"/>
        <v>6.4442264915259617E-2</v>
      </c>
      <c r="J103" s="24">
        <f>IF(I$32&lt;=1+I131,I103,L103+J$33*(I103-L103))</f>
        <v>6.4442264915259617E-2</v>
      </c>
      <c r="K103" s="22">
        <f t="shared" si="56"/>
        <v>0.19158511191023125</v>
      </c>
      <c r="L103" s="22">
        <f t="shared" si="57"/>
        <v>6.4442264915259617E-2</v>
      </c>
      <c r="M103" s="228">
        <f t="shared" si="49"/>
        <v>6.4442264915259617E-2</v>
      </c>
      <c r="N103" s="229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Formal Employment (conservancies, etc.)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0.42909090909090908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Small business -- see Data2</v>
      </c>
      <c r="B105" s="75">
        <f t="shared" si="51"/>
        <v>0.18577950245840608</v>
      </c>
      <c r="C105" s="75">
        <f t="shared" si="51"/>
        <v>0</v>
      </c>
      <c r="D105" s="24">
        <f t="shared" si="52"/>
        <v>0.18577950245840608</v>
      </c>
      <c r="H105" s="24">
        <f t="shared" si="53"/>
        <v>0.57212121212121214</v>
      </c>
      <c r="I105" s="22">
        <f t="shared" si="54"/>
        <v>0.106288394133779</v>
      </c>
      <c r="J105" s="24">
        <f>IF(I$32&lt;=1+I131,I105,L105+J$33*(I105-L105))</f>
        <v>0.106288394133779</v>
      </c>
      <c r="K105" s="22">
        <f t="shared" si="56"/>
        <v>0.18577950245840608</v>
      </c>
      <c r="L105" s="22">
        <f t="shared" si="57"/>
        <v>0.106288394133779</v>
      </c>
      <c r="M105" s="228">
        <f t="shared" si="49"/>
        <v>0.106288394133779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Social development -- see Data2</v>
      </c>
      <c r="B106" s="75">
        <f t="shared" si="51"/>
        <v>0.76634044764092502</v>
      </c>
      <c r="C106" s="75">
        <f t="shared" si="51"/>
        <v>0</v>
      </c>
      <c r="D106" s="24">
        <f t="shared" si="52"/>
        <v>0.76634044764092502</v>
      </c>
      <c r="H106" s="24">
        <f t="shared" si="53"/>
        <v>0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0.76634044764092502</v>
      </c>
      <c r="L106" s="22">
        <f t="shared" si="57"/>
        <v>0</v>
      </c>
      <c r="M106" s="228">
        <f>(J106)</f>
        <v>0</v>
      </c>
      <c r="N106" s="229">
        <v>11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Public works -- see Data2</v>
      </c>
      <c r="B107" s="75">
        <f t="shared" si="51"/>
        <v>0.34833656710951139</v>
      </c>
      <c r="C107" s="75">
        <f t="shared" si="51"/>
        <v>0</v>
      </c>
      <c r="D107" s="24">
        <f t="shared" ref="D107:D118" si="59">(B107+C107)</f>
        <v>0.34833656710951139</v>
      </c>
      <c r="H107" s="24">
        <f t="shared" ref="H107:H118" si="60">(E53*F53/G53*F$7/F$9)</f>
        <v>0.7151515151515152</v>
      </c>
      <c r="I107" s="22">
        <f t="shared" ref="I107:I118" si="61">(D107*H107)</f>
        <v>0.24911342375104453</v>
      </c>
      <c r="J107" s="24">
        <f t="shared" ref="J107:J118" si="62">IF(I$32&lt;=1+I133,I107,L107+J$33*(I107-L107))</f>
        <v>0.24911342375104453</v>
      </c>
      <c r="K107" s="22">
        <f t="shared" ref="K107:K118" si="63">(B107)</f>
        <v>0.34833656710951139</v>
      </c>
      <c r="L107" s="22">
        <f t="shared" ref="L107:L118" si="64">(K107*H107)</f>
        <v>0.24911342375104453</v>
      </c>
      <c r="M107" s="228">
        <f t="shared" ref="M107:M118" si="65">(J107)</f>
        <v>0.24911342375104453</v>
      </c>
      <c r="N107" s="229">
        <v>14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Gifts/social support: type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>
        <v>9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Other income: e.g. Credit (cotton loans)</v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>
        <v>15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Remittances: no. times per year</v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0.67272727272727284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>
        <v>16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1.5282299280354505</v>
      </c>
      <c r="C119" s="22">
        <f>SUM(C91:C118)</f>
        <v>0</v>
      </c>
      <c r="D119" s="24">
        <f>SUM(D91:D118)</f>
        <v>1.5282299280354505</v>
      </c>
      <c r="E119" s="22"/>
      <c r="F119" s="2"/>
      <c r="G119" s="2"/>
      <c r="H119" s="31"/>
      <c r="I119" s="22">
        <f>SUM(I91:I118)</f>
        <v>0.43162946998728824</v>
      </c>
      <c r="J119" s="24">
        <f>SUM(J91:J118)</f>
        <v>0.43162946998728824</v>
      </c>
      <c r="K119" s="22">
        <f>SUM(K91:K118)</f>
        <v>1.5282299280354505</v>
      </c>
      <c r="L119" s="22">
        <f>SUM(L91:L118)</f>
        <v>0.43162946998728824</v>
      </c>
      <c r="M119" s="57">
        <f t="shared" si="49"/>
        <v>0.43162946998728824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0.72786155120772633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0.43162946998728824</v>
      </c>
      <c r="J124" s="237">
        <f>IF(SUMPRODUCT($B$124:$B124,$H$124:$H124)&lt;J$119,($B124*$H124),J$119)</f>
        <v>0.43162946998728824</v>
      </c>
      <c r="K124" s="29">
        <f>(B124)</f>
        <v>0.72786155120772633</v>
      </c>
      <c r="L124" s="29">
        <f>IF(SUMPRODUCT($B$124:$B124,$H$124:$H124)&lt;L$119,($B124*$H124),L$119)</f>
        <v>0.43162946998728824</v>
      </c>
      <c r="M124" s="240">
        <f t="shared" si="66"/>
        <v>0.43162946998728824</v>
      </c>
      <c r="N124" s="58"/>
      <c r="O124" s="174">
        <f>B124*H124</f>
        <v>0.61757949799443446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0.67338618964003516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9">
        <f>(B125)</f>
        <v>0.67338618964003516</v>
      </c>
      <c r="L125" s="29">
        <f>IF(SUMPRODUCT($B$124:$B125,$H$124:$H125)&lt;L$119,($B125*$H125),IF(SUMPRODUCT($B$124:$B124,$H$124:$H124)&lt;L$119,L$119-SUMPRODUCT($B$124:$B124,$H$124:$H124),0))</f>
        <v>0</v>
      </c>
      <c r="M125" s="240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1.3422569052619839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1.3422569052619839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0.10208196619459292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0.10208196619459292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7.300407279370888E-2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0.5826586550435866</v>
      </c>
      <c r="C128" s="2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9">
        <f>(B128)</f>
        <v>0.5826586550435866</v>
      </c>
      <c r="L128" s="29">
        <f>IF(L124=L119,0,(L119-L124)/(B119-B124)*K128)</f>
        <v>0</v>
      </c>
      <c r="M128" s="240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1.5282299280354505</v>
      </c>
      <c r="C130" s="2"/>
      <c r="D130" s="31"/>
      <c r="E130" s="2"/>
      <c r="F130" s="2"/>
      <c r="G130" s="2"/>
      <c r="H130" s="24"/>
      <c r="I130" s="29">
        <f>(I119)</f>
        <v>0.43162946998728824</v>
      </c>
      <c r="J130" s="228">
        <f>(J119)</f>
        <v>0.43162946998728824</v>
      </c>
      <c r="K130" s="29">
        <f>(B130)</f>
        <v>1.5282299280354505</v>
      </c>
      <c r="L130" s="29">
        <f>(L119)</f>
        <v>0.43162946998728824</v>
      </c>
      <c r="M130" s="240">
        <f t="shared" si="66"/>
        <v>0.43162946998728824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0.66752318181032289</v>
      </c>
      <c r="J131" s="237">
        <f>IF(SUMPRODUCT($B124:$B125,$H124:$H125)&gt;(J119-J128),SUMPRODUCT($B124:$B125,$H124:$H125)+J128-J119,0)</f>
        <v>0.66752318181032289</v>
      </c>
      <c r="K131" s="29"/>
      <c r="L131" s="29">
        <f>IF(I131&lt;SUM(L126:L127),0,I131-(SUM(L126:L127)))</f>
        <v>0.66752318181032289</v>
      </c>
      <c r="M131" s="237">
        <f>IF(I131&lt;SUM(M126:M127),0,I131-(SUM(M126:M127)))</f>
        <v>0.66752318181032289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71" priority="356" operator="equal">
      <formula>16</formula>
    </cfRule>
    <cfRule type="cellIs" dxfId="570" priority="357" operator="equal">
      <formula>15</formula>
    </cfRule>
    <cfRule type="cellIs" dxfId="569" priority="358" operator="equal">
      <formula>14</formula>
    </cfRule>
    <cfRule type="cellIs" dxfId="568" priority="359" operator="equal">
      <formula>13</formula>
    </cfRule>
    <cfRule type="cellIs" dxfId="567" priority="360" operator="equal">
      <formula>12</formula>
    </cfRule>
    <cfRule type="cellIs" dxfId="566" priority="361" operator="equal">
      <formula>11</formula>
    </cfRule>
    <cfRule type="cellIs" dxfId="565" priority="362" operator="equal">
      <formula>10</formula>
    </cfRule>
    <cfRule type="cellIs" dxfId="564" priority="363" operator="equal">
      <formula>9</formula>
    </cfRule>
    <cfRule type="cellIs" dxfId="563" priority="364" operator="equal">
      <formula>8</formula>
    </cfRule>
    <cfRule type="cellIs" dxfId="562" priority="365" operator="equal">
      <formula>7</formula>
    </cfRule>
    <cfRule type="cellIs" dxfId="561" priority="366" operator="equal">
      <formula>6</formula>
    </cfRule>
    <cfRule type="cellIs" dxfId="560" priority="367" operator="equal">
      <formula>5</formula>
    </cfRule>
    <cfRule type="cellIs" dxfId="559" priority="368" operator="equal">
      <formula>4</formula>
    </cfRule>
    <cfRule type="cellIs" dxfId="558" priority="369" operator="equal">
      <formula>3</formula>
    </cfRule>
    <cfRule type="cellIs" dxfId="557" priority="370" operator="equal">
      <formula>2</formula>
    </cfRule>
    <cfRule type="cellIs" dxfId="556" priority="371" operator="equal">
      <formula>1</formula>
    </cfRule>
  </conditionalFormatting>
  <conditionalFormatting sqref="N29">
    <cfRule type="cellIs" dxfId="555" priority="340" operator="equal">
      <formula>16</formula>
    </cfRule>
    <cfRule type="cellIs" dxfId="554" priority="341" operator="equal">
      <formula>15</formula>
    </cfRule>
    <cfRule type="cellIs" dxfId="553" priority="342" operator="equal">
      <formula>14</formula>
    </cfRule>
    <cfRule type="cellIs" dxfId="552" priority="343" operator="equal">
      <formula>13</formula>
    </cfRule>
    <cfRule type="cellIs" dxfId="551" priority="344" operator="equal">
      <formula>12</formula>
    </cfRule>
    <cfRule type="cellIs" dxfId="550" priority="345" operator="equal">
      <formula>11</formula>
    </cfRule>
    <cfRule type="cellIs" dxfId="549" priority="346" operator="equal">
      <formula>10</formula>
    </cfRule>
    <cfRule type="cellIs" dxfId="548" priority="347" operator="equal">
      <formula>9</formula>
    </cfRule>
    <cfRule type="cellIs" dxfId="547" priority="348" operator="equal">
      <formula>8</formula>
    </cfRule>
    <cfRule type="cellIs" dxfId="546" priority="349" operator="equal">
      <formula>7</formula>
    </cfRule>
    <cfRule type="cellIs" dxfId="545" priority="350" operator="equal">
      <formula>6</formula>
    </cfRule>
    <cfRule type="cellIs" dxfId="544" priority="351" operator="equal">
      <formula>5</formula>
    </cfRule>
    <cfRule type="cellIs" dxfId="543" priority="352" operator="equal">
      <formula>4</formula>
    </cfRule>
    <cfRule type="cellIs" dxfId="542" priority="353" operator="equal">
      <formula>3</formula>
    </cfRule>
    <cfRule type="cellIs" dxfId="541" priority="354" operator="equal">
      <formula>2</formula>
    </cfRule>
    <cfRule type="cellIs" dxfId="540" priority="355" operator="equal">
      <formula>1</formula>
    </cfRule>
  </conditionalFormatting>
  <conditionalFormatting sqref="N119">
    <cfRule type="cellIs" dxfId="539" priority="324" operator="equal">
      <formula>16</formula>
    </cfRule>
    <cfRule type="cellIs" dxfId="538" priority="325" operator="equal">
      <formula>15</formula>
    </cfRule>
    <cfRule type="cellIs" dxfId="537" priority="326" operator="equal">
      <formula>14</formula>
    </cfRule>
    <cfRule type="cellIs" dxfId="536" priority="327" operator="equal">
      <formula>13</formula>
    </cfRule>
    <cfRule type="cellIs" dxfId="535" priority="328" operator="equal">
      <formula>12</formula>
    </cfRule>
    <cfRule type="cellIs" dxfId="534" priority="329" operator="equal">
      <formula>11</formula>
    </cfRule>
    <cfRule type="cellIs" dxfId="533" priority="330" operator="equal">
      <formula>10</formula>
    </cfRule>
    <cfRule type="cellIs" dxfId="532" priority="331" operator="equal">
      <formula>9</formula>
    </cfRule>
    <cfRule type="cellIs" dxfId="531" priority="332" operator="equal">
      <formula>8</formula>
    </cfRule>
    <cfRule type="cellIs" dxfId="530" priority="333" operator="equal">
      <formula>7</formula>
    </cfRule>
    <cfRule type="cellIs" dxfId="529" priority="334" operator="equal">
      <formula>6</formula>
    </cfRule>
    <cfRule type="cellIs" dxfId="528" priority="335" operator="equal">
      <formula>5</formula>
    </cfRule>
    <cfRule type="cellIs" dxfId="527" priority="336" operator="equal">
      <formula>4</formula>
    </cfRule>
    <cfRule type="cellIs" dxfId="526" priority="337" operator="equal">
      <formula>3</formula>
    </cfRule>
    <cfRule type="cellIs" dxfId="525" priority="338" operator="equal">
      <formula>2</formula>
    </cfRule>
    <cfRule type="cellIs" dxfId="524" priority="339" operator="equal">
      <formula>1</formula>
    </cfRule>
  </conditionalFormatting>
  <conditionalFormatting sqref="N27:N28">
    <cfRule type="cellIs" dxfId="523" priority="276" operator="equal">
      <formula>16</formula>
    </cfRule>
    <cfRule type="cellIs" dxfId="522" priority="277" operator="equal">
      <formula>15</formula>
    </cfRule>
    <cfRule type="cellIs" dxfId="521" priority="278" operator="equal">
      <formula>14</formula>
    </cfRule>
    <cfRule type="cellIs" dxfId="520" priority="279" operator="equal">
      <formula>13</formula>
    </cfRule>
    <cfRule type="cellIs" dxfId="519" priority="280" operator="equal">
      <formula>12</formula>
    </cfRule>
    <cfRule type="cellIs" dxfId="518" priority="281" operator="equal">
      <formula>11</formula>
    </cfRule>
    <cfRule type="cellIs" dxfId="517" priority="282" operator="equal">
      <formula>10</formula>
    </cfRule>
    <cfRule type="cellIs" dxfId="516" priority="283" operator="equal">
      <formula>9</formula>
    </cfRule>
    <cfRule type="cellIs" dxfId="515" priority="284" operator="equal">
      <formula>8</formula>
    </cfRule>
    <cfRule type="cellIs" dxfId="514" priority="285" operator="equal">
      <formula>7</formula>
    </cfRule>
    <cfRule type="cellIs" dxfId="513" priority="286" operator="equal">
      <formula>6</formula>
    </cfRule>
    <cfRule type="cellIs" dxfId="512" priority="287" operator="equal">
      <formula>5</formula>
    </cfRule>
    <cfRule type="cellIs" dxfId="511" priority="288" operator="equal">
      <formula>4</formula>
    </cfRule>
    <cfRule type="cellIs" dxfId="510" priority="289" operator="equal">
      <formula>3</formula>
    </cfRule>
    <cfRule type="cellIs" dxfId="509" priority="290" operator="equal">
      <formula>2</formula>
    </cfRule>
    <cfRule type="cellIs" dxfId="508" priority="291" operator="equal">
      <formula>1</formula>
    </cfRule>
  </conditionalFormatting>
  <conditionalFormatting sqref="N6:N26">
    <cfRule type="cellIs" dxfId="507" priority="164" operator="equal">
      <formula>16</formula>
    </cfRule>
    <cfRule type="cellIs" dxfId="506" priority="165" operator="equal">
      <formula>15</formula>
    </cfRule>
    <cfRule type="cellIs" dxfId="505" priority="166" operator="equal">
      <formula>14</formula>
    </cfRule>
    <cfRule type="cellIs" dxfId="504" priority="167" operator="equal">
      <formula>13</formula>
    </cfRule>
    <cfRule type="cellIs" dxfId="503" priority="168" operator="equal">
      <formula>12</formula>
    </cfRule>
    <cfRule type="cellIs" dxfId="502" priority="169" operator="equal">
      <formula>11</formula>
    </cfRule>
    <cfRule type="cellIs" dxfId="501" priority="170" operator="equal">
      <formula>10</formula>
    </cfRule>
    <cfRule type="cellIs" dxfId="500" priority="171" operator="equal">
      <formula>9</formula>
    </cfRule>
    <cfRule type="cellIs" dxfId="499" priority="172" operator="equal">
      <formula>8</formula>
    </cfRule>
    <cfRule type="cellIs" dxfId="498" priority="173" operator="equal">
      <formula>7</formula>
    </cfRule>
    <cfRule type="cellIs" dxfId="497" priority="174" operator="equal">
      <formula>6</formula>
    </cfRule>
    <cfRule type="cellIs" dxfId="496" priority="175" operator="equal">
      <formula>5</formula>
    </cfRule>
    <cfRule type="cellIs" dxfId="495" priority="176" operator="equal">
      <formula>4</formula>
    </cfRule>
    <cfRule type="cellIs" dxfId="494" priority="177" operator="equal">
      <formula>3</formula>
    </cfRule>
    <cfRule type="cellIs" dxfId="493" priority="178" operator="equal">
      <formula>2</formula>
    </cfRule>
    <cfRule type="cellIs" dxfId="492" priority="179" operator="equal">
      <formula>1</formula>
    </cfRule>
  </conditionalFormatting>
  <conditionalFormatting sqref="N113:N118">
    <cfRule type="cellIs" dxfId="491" priority="148" operator="equal">
      <formula>16</formula>
    </cfRule>
    <cfRule type="cellIs" dxfId="490" priority="149" operator="equal">
      <formula>15</formula>
    </cfRule>
    <cfRule type="cellIs" dxfId="489" priority="150" operator="equal">
      <formula>14</formula>
    </cfRule>
    <cfRule type="cellIs" dxfId="488" priority="151" operator="equal">
      <formula>13</formula>
    </cfRule>
    <cfRule type="cellIs" dxfId="487" priority="152" operator="equal">
      <formula>12</formula>
    </cfRule>
    <cfRule type="cellIs" dxfId="486" priority="153" operator="equal">
      <formula>11</formula>
    </cfRule>
    <cfRule type="cellIs" dxfId="485" priority="154" operator="equal">
      <formula>10</formula>
    </cfRule>
    <cfRule type="cellIs" dxfId="484" priority="155" operator="equal">
      <formula>9</formula>
    </cfRule>
    <cfRule type="cellIs" dxfId="483" priority="156" operator="equal">
      <formula>8</formula>
    </cfRule>
    <cfRule type="cellIs" dxfId="482" priority="157" operator="equal">
      <formula>7</formula>
    </cfRule>
    <cfRule type="cellIs" dxfId="481" priority="158" operator="equal">
      <formula>6</formula>
    </cfRule>
    <cfRule type="cellIs" dxfId="480" priority="159" operator="equal">
      <formula>5</formula>
    </cfRule>
    <cfRule type="cellIs" dxfId="479" priority="160" operator="equal">
      <formula>4</formula>
    </cfRule>
    <cfRule type="cellIs" dxfId="478" priority="161" operator="equal">
      <formula>3</formula>
    </cfRule>
    <cfRule type="cellIs" dxfId="477" priority="162" operator="equal">
      <formula>2</formula>
    </cfRule>
    <cfRule type="cellIs" dxfId="476" priority="163" operator="equal">
      <formula>1</formula>
    </cfRule>
  </conditionalFormatting>
  <conditionalFormatting sqref="N112">
    <cfRule type="cellIs" dxfId="475" priority="132" operator="equal">
      <formula>16</formula>
    </cfRule>
    <cfRule type="cellIs" dxfId="474" priority="133" operator="equal">
      <formula>15</formula>
    </cfRule>
    <cfRule type="cellIs" dxfId="473" priority="134" operator="equal">
      <formula>14</formula>
    </cfRule>
    <cfRule type="cellIs" dxfId="472" priority="135" operator="equal">
      <formula>13</formula>
    </cfRule>
    <cfRule type="cellIs" dxfId="471" priority="136" operator="equal">
      <formula>12</formula>
    </cfRule>
    <cfRule type="cellIs" dxfId="470" priority="137" operator="equal">
      <formula>11</formula>
    </cfRule>
    <cfRule type="cellIs" dxfId="469" priority="138" operator="equal">
      <formula>10</formula>
    </cfRule>
    <cfRule type="cellIs" dxfId="468" priority="139" operator="equal">
      <formula>9</formula>
    </cfRule>
    <cfRule type="cellIs" dxfId="467" priority="140" operator="equal">
      <formula>8</formula>
    </cfRule>
    <cfRule type="cellIs" dxfId="466" priority="141" operator="equal">
      <formula>7</formula>
    </cfRule>
    <cfRule type="cellIs" dxfId="465" priority="142" operator="equal">
      <formula>6</formula>
    </cfRule>
    <cfRule type="cellIs" dxfId="464" priority="143" operator="equal">
      <formula>5</formula>
    </cfRule>
    <cfRule type="cellIs" dxfId="463" priority="144" operator="equal">
      <formula>4</formula>
    </cfRule>
    <cfRule type="cellIs" dxfId="462" priority="145" operator="equal">
      <formula>3</formula>
    </cfRule>
    <cfRule type="cellIs" dxfId="461" priority="146" operator="equal">
      <formula>2</formula>
    </cfRule>
    <cfRule type="cellIs" dxfId="460" priority="147" operator="equal">
      <formula>1</formula>
    </cfRule>
  </conditionalFormatting>
  <conditionalFormatting sqref="N111">
    <cfRule type="cellIs" dxfId="459" priority="36" operator="equal">
      <formula>16</formula>
    </cfRule>
    <cfRule type="cellIs" dxfId="458" priority="37" operator="equal">
      <formula>15</formula>
    </cfRule>
    <cfRule type="cellIs" dxfId="457" priority="38" operator="equal">
      <formula>14</formula>
    </cfRule>
    <cfRule type="cellIs" dxfId="456" priority="39" operator="equal">
      <formula>13</formula>
    </cfRule>
    <cfRule type="cellIs" dxfId="455" priority="40" operator="equal">
      <formula>12</formula>
    </cfRule>
    <cfRule type="cellIs" dxfId="454" priority="41" operator="equal">
      <formula>11</formula>
    </cfRule>
    <cfRule type="cellIs" dxfId="453" priority="42" operator="equal">
      <formula>10</formula>
    </cfRule>
    <cfRule type="cellIs" dxfId="452" priority="43" operator="equal">
      <formula>9</formula>
    </cfRule>
    <cfRule type="cellIs" dxfId="451" priority="44" operator="equal">
      <formula>8</formula>
    </cfRule>
    <cfRule type="cellIs" dxfId="450" priority="45" operator="equal">
      <formula>7</formula>
    </cfRule>
    <cfRule type="cellIs" dxfId="449" priority="46" operator="equal">
      <formula>6</formula>
    </cfRule>
    <cfRule type="cellIs" dxfId="448" priority="47" operator="equal">
      <formula>5</formula>
    </cfRule>
    <cfRule type="cellIs" dxfId="447" priority="48" operator="equal">
      <formula>4</formula>
    </cfRule>
    <cfRule type="cellIs" dxfId="446" priority="49" operator="equal">
      <formula>3</formula>
    </cfRule>
    <cfRule type="cellIs" dxfId="445" priority="50" operator="equal">
      <formula>2</formula>
    </cfRule>
    <cfRule type="cellIs" dxfId="444" priority="51" operator="equal">
      <formula>1</formula>
    </cfRule>
  </conditionalFormatting>
  <conditionalFormatting sqref="N91:N104">
    <cfRule type="cellIs" dxfId="443" priority="20" operator="equal">
      <formula>16</formula>
    </cfRule>
    <cfRule type="cellIs" dxfId="442" priority="21" operator="equal">
      <formula>15</formula>
    </cfRule>
    <cfRule type="cellIs" dxfId="441" priority="22" operator="equal">
      <formula>14</formula>
    </cfRule>
    <cfRule type="cellIs" dxfId="440" priority="23" operator="equal">
      <formula>13</formula>
    </cfRule>
    <cfRule type="cellIs" dxfId="439" priority="24" operator="equal">
      <formula>12</formula>
    </cfRule>
    <cfRule type="cellIs" dxfId="438" priority="25" operator="equal">
      <formula>11</formula>
    </cfRule>
    <cfRule type="cellIs" dxfId="437" priority="26" operator="equal">
      <formula>10</formula>
    </cfRule>
    <cfRule type="cellIs" dxfId="436" priority="27" operator="equal">
      <formula>9</formula>
    </cfRule>
    <cfRule type="cellIs" dxfId="435" priority="28" operator="equal">
      <formula>8</formula>
    </cfRule>
    <cfRule type="cellIs" dxfId="434" priority="29" operator="equal">
      <formula>7</formula>
    </cfRule>
    <cfRule type="cellIs" dxfId="433" priority="30" operator="equal">
      <formula>6</formula>
    </cfRule>
    <cfRule type="cellIs" dxfId="432" priority="31" operator="equal">
      <formula>5</formula>
    </cfRule>
    <cfRule type="cellIs" dxfId="431" priority="32" operator="equal">
      <formula>4</formula>
    </cfRule>
    <cfRule type="cellIs" dxfId="430" priority="33" operator="equal">
      <formula>3</formula>
    </cfRule>
    <cfRule type="cellIs" dxfId="429" priority="34" operator="equal">
      <formula>2</formula>
    </cfRule>
    <cfRule type="cellIs" dxfId="428" priority="35" operator="equal">
      <formula>1</formula>
    </cfRule>
  </conditionalFormatting>
  <conditionalFormatting sqref="N105:N110">
    <cfRule type="cellIs" dxfId="427" priority="4" operator="equal">
      <formula>16</formula>
    </cfRule>
    <cfRule type="cellIs" dxfId="426" priority="5" operator="equal">
      <formula>15</formula>
    </cfRule>
    <cfRule type="cellIs" dxfId="425" priority="6" operator="equal">
      <formula>14</formula>
    </cfRule>
    <cfRule type="cellIs" dxfId="424" priority="7" operator="equal">
      <formula>13</formula>
    </cfRule>
    <cfRule type="cellIs" dxfId="423" priority="8" operator="equal">
      <formula>12</formula>
    </cfRule>
    <cfRule type="cellIs" dxfId="422" priority="9" operator="equal">
      <formula>11</formula>
    </cfRule>
    <cfRule type="cellIs" dxfId="421" priority="10" operator="equal">
      <formula>10</formula>
    </cfRule>
    <cfRule type="cellIs" dxfId="420" priority="11" operator="equal">
      <formula>9</formula>
    </cfRule>
    <cfRule type="cellIs" dxfId="419" priority="12" operator="equal">
      <formula>8</formula>
    </cfRule>
    <cfRule type="cellIs" dxfId="418" priority="13" operator="equal">
      <formula>7</formula>
    </cfRule>
    <cfRule type="cellIs" dxfId="417" priority="14" operator="equal">
      <formula>6</formula>
    </cfRule>
    <cfRule type="cellIs" dxfId="416" priority="15" operator="equal">
      <formula>5</formula>
    </cfRule>
    <cfRule type="cellIs" dxfId="415" priority="16" operator="equal">
      <formula>4</formula>
    </cfRule>
    <cfRule type="cellIs" dxfId="414" priority="17" operator="equal">
      <formula>3</formula>
    </cfRule>
    <cfRule type="cellIs" dxfId="413" priority="18" operator="equal">
      <formula>2</formula>
    </cfRule>
    <cfRule type="cellIs" dxfId="412" priority="19" operator="equal">
      <formula>1</formula>
    </cfRule>
  </conditionalFormatting>
  <conditionalFormatting sqref="R31:T31">
    <cfRule type="cellIs" dxfId="411" priority="3" operator="greaterThan">
      <formula>0</formula>
    </cfRule>
  </conditionalFormatting>
  <conditionalFormatting sqref="R32:T32">
    <cfRule type="cellIs" dxfId="410" priority="2" operator="greaterThan">
      <formula>0</formula>
    </cfRule>
  </conditionalFormatting>
  <conditionalFormatting sqref="R30:T30">
    <cfRule type="cellIs" dxfId="40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22" activePane="bottomRight" state="frozen"/>
      <selection pane="topRight" activeCell="B1" sqref="B1"/>
      <selection pane="bottomLeft" activeCell="A3" sqref="A3"/>
      <selection pane="bottomRight" activeCell="E51" sqref="E51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ZASCO: 59305</v>
      </c>
      <c r="B1" s="245" t="str">
        <f>[1]WB!$A$2</f>
        <v>South coast intensive open access cropping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1" t="s">
        <v>105</v>
      </c>
      <c r="AA1" s="262"/>
      <c r="AB1" s="261" t="s">
        <v>106</v>
      </c>
      <c r="AC1" s="262"/>
      <c r="AD1" s="261" t="s">
        <v>107</v>
      </c>
      <c r="AE1" s="262"/>
      <c r="AF1" s="261" t="s">
        <v>108</v>
      </c>
      <c r="AG1" s="262"/>
      <c r="AH1" s="117"/>
      <c r="AI1" s="110"/>
      <c r="AJ1" s="200" t="str">
        <f>LEFT(Z1,4) &amp; MID(AB1,5,3)</f>
        <v>Apr-Sep</v>
      </c>
      <c r="AK1" s="20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9" t="s">
        <v>109</v>
      </c>
      <c r="AA2" s="263"/>
      <c r="AB2" s="259" t="s">
        <v>110</v>
      </c>
      <c r="AC2" s="263"/>
      <c r="AD2" s="259" t="s">
        <v>111</v>
      </c>
      <c r="AE2" s="263"/>
      <c r="AF2" s="259" t="s">
        <v>112</v>
      </c>
      <c r="AG2" s="263"/>
      <c r="AH2" s="117"/>
      <c r="AI2" s="110"/>
      <c r="AJ2" s="198" t="s">
        <v>113</v>
      </c>
      <c r="AK2" s="199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Own meat</v>
      </c>
      <c r="B6" s="216">
        <f>IF([1]Summ!E1044="",0,[1]Summ!E1044)</f>
        <v>2.026514827210461E-2</v>
      </c>
      <c r="C6" s="216">
        <f>IF([1]Summ!F1044="",0,[1]Summ!F1044)</f>
        <v>0</v>
      </c>
      <c r="D6" s="24">
        <f t="shared" ref="D6:D16" si="0">SUM(B6,C6)</f>
        <v>2.026514827210461E-2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4.0530296544209225E-3</v>
      </c>
      <c r="J6" s="24">
        <f t="shared" ref="J6:J13" si="3">IF(I$32&lt;=1+I$131,I6,B6*H6+J$33*(I6-B6*H6))</f>
        <v>4.0530296544209225E-3</v>
      </c>
      <c r="K6" s="22">
        <f t="shared" ref="K6:K31" si="4">B6</f>
        <v>2.026514827210461E-2</v>
      </c>
      <c r="L6" s="22">
        <f t="shared" ref="L6:L29" si="5">IF(K6="","",K6*H6)</f>
        <v>4.0530296544209225E-3</v>
      </c>
      <c r="M6" s="224">
        <f t="shared" ref="M6:M31" si="6">J6</f>
        <v>4.0530296544209225E-3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1.621211861768369E-2</v>
      </c>
      <c r="Z6" s="116">
        <v>0.17</v>
      </c>
      <c r="AA6" s="121">
        <f>$M6*Z6*4</f>
        <v>2.7560601650062273E-3</v>
      </c>
      <c r="AB6" s="116">
        <v>0.17</v>
      </c>
      <c r="AC6" s="121">
        <f t="shared" ref="AC6:AC29" si="7">$M6*AB6*4</f>
        <v>2.7560601650062273E-3</v>
      </c>
      <c r="AD6" s="116">
        <v>0.33</v>
      </c>
      <c r="AE6" s="121">
        <f t="shared" ref="AE6:AE29" si="8">$M6*AD6*4</f>
        <v>5.3499991438356181E-3</v>
      </c>
      <c r="AF6" s="122">
        <f>1-SUM(Z6,AB6,AD6)</f>
        <v>0.32999999999999996</v>
      </c>
      <c r="AG6" s="121">
        <f>$M6*AF6*4</f>
        <v>5.3499991438356173E-3</v>
      </c>
      <c r="AH6" s="123">
        <f>SUM(Z6,AB6,AD6,AF6)</f>
        <v>1</v>
      </c>
      <c r="AI6" s="184">
        <f>SUM(AA6,AC6,AE6,AG6)/4</f>
        <v>4.0530296544209225E-3</v>
      </c>
      <c r="AJ6" s="120">
        <f>(AA6+AC6)/2</f>
        <v>2.7560601650062273E-3</v>
      </c>
      <c r="AK6" s="119">
        <f>(AE6+AG6)/2</f>
        <v>5.3499991438356181E-3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Green cons - Season 1: no of months</v>
      </c>
      <c r="B7" s="216">
        <f>IF([1]Summ!E1045="",0,[1]Summ!E1045)</f>
        <v>7.4999999999999997E-3</v>
      </c>
      <c r="C7" s="216">
        <f>IF([1]Summ!F1045="",0,[1]Summ!F1045)</f>
        <v>0</v>
      </c>
      <c r="D7" s="24">
        <f t="shared" si="0"/>
        <v>7.4999999999999997E-3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1.5E-3</v>
      </c>
      <c r="J7" s="24">
        <f t="shared" si="3"/>
        <v>1.5E-3</v>
      </c>
      <c r="K7" s="22">
        <f t="shared" si="4"/>
        <v>7.4999999999999997E-3</v>
      </c>
      <c r="L7" s="22">
        <f t="shared" si="5"/>
        <v>1.5E-3</v>
      </c>
      <c r="M7" s="224">
        <f t="shared" si="6"/>
        <v>1.5E-3</v>
      </c>
      <c r="N7" s="229">
        <v>1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3448.1756035470717</v>
      </c>
      <c r="S7" s="222">
        <f>IF($B$81=0,0,(SUMIF($N$6:$N$28,$U7,L$6:L$28)+SUMIF($N$91:$N$118,$U7,L$91:L$118))*$I$83*Poor!$B$81/$B$81)</f>
        <v>843.08832717297355</v>
      </c>
      <c r="T7" s="222">
        <f>IF($B$81=0,0,(SUMIF($N$6:$N$28,$U7,M$6:M$28)+SUMIF($N$91:$N$118,$U7,M$91:M$118))*$I$83*Poor!$B$81/$B$81)</f>
        <v>1105.2396030431623</v>
      </c>
      <c r="U7" s="223">
        <v>1</v>
      </c>
      <c r="V7" s="56"/>
      <c r="W7" s="115"/>
      <c r="X7" s="124">
        <v>4</v>
      </c>
      <c r="Y7" s="184">
        <f t="shared" ref="Y7:Y29" si="9">M7*4</f>
        <v>6.0000000000000001E-3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6.0000000000000001E-3</v>
      </c>
      <c r="AH7" s="123">
        <f t="shared" ref="AH7:AH30" si="12">SUM(Z7,AB7,AD7,AF7)</f>
        <v>1</v>
      </c>
      <c r="AI7" s="184">
        <f t="shared" ref="AI7:AI30" si="13">SUM(AA7,AC7,AE7,AG7)/4</f>
        <v>1.5E-3</v>
      </c>
      <c r="AJ7" s="120">
        <f t="shared" ref="AJ7:AJ31" si="14">(AA7+AC7)/2</f>
        <v>0</v>
      </c>
      <c r="AK7" s="119">
        <f t="shared" ref="AK7:AK31" si="15">(AE7+AG7)/2</f>
        <v>3.0000000000000001E-3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Maize: kg produced</v>
      </c>
      <c r="B8" s="216">
        <f>IF([1]Summ!E1046="",0,[1]Summ!E1046)</f>
        <v>2.8981242216687422E-2</v>
      </c>
      <c r="C8" s="216">
        <f>IF([1]Summ!F1046="",0,[1]Summ!F1046)</f>
        <v>0</v>
      </c>
      <c r="D8" s="24">
        <f t="shared" si="0"/>
        <v>2.8981242216687422E-2</v>
      </c>
      <c r="E8" s="26">
        <v>0.3</v>
      </c>
      <c r="F8" s="22" t="s">
        <v>23</v>
      </c>
      <c r="H8" s="24">
        <f t="shared" si="1"/>
        <v>0.3</v>
      </c>
      <c r="I8" s="22">
        <f t="shared" si="2"/>
        <v>8.694372665006226E-3</v>
      </c>
      <c r="J8" s="24">
        <f t="shared" si="3"/>
        <v>8.694372665006226E-3</v>
      </c>
      <c r="K8" s="22">
        <f t="shared" si="4"/>
        <v>2.8981242216687422E-2</v>
      </c>
      <c r="L8" s="22">
        <f t="shared" si="5"/>
        <v>8.694372665006226E-3</v>
      </c>
      <c r="M8" s="224">
        <f t="shared" si="6"/>
        <v>8.694372665006226E-3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2906.4829608592067</v>
      </c>
      <c r="S8" s="222">
        <f>IF($B$81=0,0,(SUMIF($N$6:$N$28,$U8,L$6:L$28)+SUMIF($N$91:$N$118,$U8,L$91:L$118))*$I$83*Poor!$B$81/$B$81)</f>
        <v>532.28</v>
      </c>
      <c r="T8" s="222">
        <f>IF($B$81=0,0,(SUMIF($N$6:$N$28,$U8,M$6:M$28)+SUMIF($N$91:$N$118,$U8,M$91:M$118))*$I$83*Poor!$B$81/$B$81)</f>
        <v>145.04</v>
      </c>
      <c r="U8" s="223">
        <v>2</v>
      </c>
      <c r="V8" s="185"/>
      <c r="W8" s="115"/>
      <c r="X8" s="124">
        <v>1</v>
      </c>
      <c r="Y8" s="184">
        <f t="shared" si="9"/>
        <v>3.4777490660024904E-2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3.4777490660024904E-2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8.694372665006226E-3</v>
      </c>
      <c r="AJ8" s="120">
        <f t="shared" si="14"/>
        <v>1.7388745330012452E-2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Green Pepper/ Brinjal / Beetroot: kg produced</v>
      </c>
      <c r="B9" s="216">
        <f>IF([1]Summ!E1047="",0,[1]Summ!E1047)</f>
        <v>6.4726027397260272E-4</v>
      </c>
      <c r="C9" s="216">
        <f>IF([1]Summ!F1047="",0,[1]Summ!F1047)</f>
        <v>0</v>
      </c>
      <c r="D9" s="24">
        <f t="shared" si="0"/>
        <v>6.4726027397260272E-4</v>
      </c>
      <c r="E9" s="26">
        <v>0.2</v>
      </c>
      <c r="F9" s="28">
        <v>8800</v>
      </c>
      <c r="H9" s="24">
        <f t="shared" si="1"/>
        <v>0.2</v>
      </c>
      <c r="I9" s="22">
        <f t="shared" si="2"/>
        <v>1.2945205479452054E-4</v>
      </c>
      <c r="J9" s="24">
        <f t="shared" si="3"/>
        <v>1.2945205479452054E-4</v>
      </c>
      <c r="K9" s="22">
        <f t="shared" si="4"/>
        <v>6.4726027397260272E-4</v>
      </c>
      <c r="L9" s="22">
        <f t="shared" si="5"/>
        <v>1.2945205479452054E-4</v>
      </c>
      <c r="M9" s="224">
        <f t="shared" si="6"/>
        <v>1.2945205479452054E-4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640.42588776389903</v>
      </c>
      <c r="S9" s="222">
        <f>IF($B$81=0,0,(SUMIF($N$6:$N$28,$U9,L$6:L$28)+SUMIF($N$91:$N$118,$U9,L$91:L$118))*$I$83*Poor!$B$81/$B$81)</f>
        <v>138.22835969840335</v>
      </c>
      <c r="T9" s="222">
        <f>IF($B$81=0,0,(SUMIF($N$6:$N$28,$U9,M$6:M$28)+SUMIF($N$91:$N$118,$U9,M$91:M$118))*$I$83*Poor!$B$81/$B$81)</f>
        <v>138.22835969840335</v>
      </c>
      <c r="U9" s="223">
        <v>3</v>
      </c>
      <c r="V9" s="56"/>
      <c r="W9" s="115"/>
      <c r="X9" s="124">
        <v>1</v>
      </c>
      <c r="Y9" s="184">
        <f t="shared" si="9"/>
        <v>5.1780821917808218E-4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5.1780821917808218E-4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1.2945205479452054E-4</v>
      </c>
      <c r="AJ9" s="120">
        <f t="shared" si="14"/>
        <v>2.5890410958904109E-4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Beans: kg produced</v>
      </c>
      <c r="B10" s="216">
        <f>IF([1]Summ!E1048="",0,[1]Summ!E1048)</f>
        <v>2.0437045610211705E-2</v>
      </c>
      <c r="C10" s="216">
        <f>IF([1]Summ!F1048="",0,[1]Summ!F1048)</f>
        <v>-7.4567598848069728E-3</v>
      </c>
      <c r="D10" s="24">
        <f t="shared" si="0"/>
        <v>1.2980285725404732E-2</v>
      </c>
      <c r="E10" s="26">
        <v>0.2</v>
      </c>
      <c r="H10" s="24">
        <f t="shared" si="1"/>
        <v>0.2</v>
      </c>
      <c r="I10" s="22">
        <f t="shared" si="2"/>
        <v>2.5960571450809465E-3</v>
      </c>
      <c r="J10" s="24">
        <f t="shared" si="3"/>
        <v>2.5960571450809465E-3</v>
      </c>
      <c r="K10" s="22">
        <f t="shared" si="4"/>
        <v>2.0437045610211705E-2</v>
      </c>
      <c r="L10" s="22">
        <f t="shared" si="5"/>
        <v>4.0874091220423408E-3</v>
      </c>
      <c r="M10" s="224">
        <f t="shared" si="6"/>
        <v>2.5960571450809465E-3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4">
        <f t="shared" si="9"/>
        <v>1.0384228580323786E-2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1.0384228580323786E-2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2.5960571450809465E-3</v>
      </c>
      <c r="AJ10" s="120">
        <f t="shared" si="14"/>
        <v>5.1921142901618931E-3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Amadumbe: kg produced</v>
      </c>
      <c r="B11" s="216">
        <f>IF([1]Summ!E1049="",0,[1]Summ!E1049)</f>
        <v>1.0554794520547944E-2</v>
      </c>
      <c r="C11" s="216">
        <f>IF([1]Summ!F1049="",0,[1]Summ!F1049)</f>
        <v>2.1568493150684931E-2</v>
      </c>
      <c r="D11" s="24">
        <f t="shared" si="0"/>
        <v>3.2123287671232875E-2</v>
      </c>
      <c r="E11" s="26">
        <v>0.2</v>
      </c>
      <c r="H11" s="24">
        <f t="shared" si="1"/>
        <v>0.2</v>
      </c>
      <c r="I11" s="22">
        <f t="shared" si="2"/>
        <v>6.4246575342465752E-3</v>
      </c>
      <c r="J11" s="24">
        <f t="shared" si="3"/>
        <v>6.4246575342465752E-3</v>
      </c>
      <c r="K11" s="22">
        <f t="shared" si="4"/>
        <v>1.0554794520547944E-2</v>
      </c>
      <c r="L11" s="22">
        <f t="shared" si="5"/>
        <v>2.1109589041095889E-3</v>
      </c>
      <c r="M11" s="224">
        <f t="shared" si="6"/>
        <v>6.4246575342465752E-3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7413.748488798682</v>
      </c>
      <c r="S11" s="222">
        <f>IF($B$81=0,0,(SUMIF($N$6:$N$28,$U11,L$6:L$28)+SUMIF($N$91:$N$118,$U11,L$91:L$118))*$I$83*Poor!$B$81/$B$81)</f>
        <v>3007.82</v>
      </c>
      <c r="T11" s="222">
        <f>IF($B$81=0,0,(SUMIF($N$6:$N$28,$U11,M$6:M$28)+SUMIF($N$91:$N$118,$U11,M$91:M$118))*$I$83*Poor!$B$81/$B$81)</f>
        <v>3007.82</v>
      </c>
      <c r="U11" s="223">
        <v>5</v>
      </c>
      <c r="V11" s="56"/>
      <c r="W11" s="115"/>
      <c r="X11" s="124">
        <v>1</v>
      </c>
      <c r="Y11" s="184">
        <f t="shared" si="9"/>
        <v>2.5698630136986301E-2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2.5698630136986301E-2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6.4246575342465752E-3</v>
      </c>
      <c r="AJ11" s="120">
        <f t="shared" si="14"/>
        <v>1.284931506849315E-2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Potatoes: kg produced</v>
      </c>
      <c r="B12" s="216">
        <f>IF([1]Summ!E1050="",0,[1]Summ!E1050)</f>
        <v>6.9874688667496887E-3</v>
      </c>
      <c r="C12" s="216">
        <f>IF([1]Summ!F1050="",0,[1]Summ!F1050)</f>
        <v>7.3552303860523046E-3</v>
      </c>
      <c r="D12" s="24">
        <f t="shared" si="0"/>
        <v>1.4342699252801993E-2</v>
      </c>
      <c r="E12" s="26">
        <v>0.2</v>
      </c>
      <c r="H12" s="24">
        <f t="shared" si="1"/>
        <v>0.2</v>
      </c>
      <c r="I12" s="22">
        <f t="shared" si="2"/>
        <v>2.8685398505603988E-3</v>
      </c>
      <c r="J12" s="24">
        <f t="shared" si="3"/>
        <v>2.8685398505603988E-3</v>
      </c>
      <c r="K12" s="22">
        <f t="shared" si="4"/>
        <v>6.9874688667496887E-3</v>
      </c>
      <c r="L12" s="22">
        <f t="shared" si="5"/>
        <v>1.3974937733499378E-3</v>
      </c>
      <c r="M12" s="224">
        <f t="shared" si="6"/>
        <v>2.8685398505603988E-3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365.17809838714737</v>
      </c>
      <c r="S12" s="222">
        <f>IF($B$81=0,0,(SUMIF($N$6:$N$28,$U12,L$6:L$28)+SUMIF($N$91:$N$118,$U12,L$91:L$118))*$I$83*Poor!$B$81/$B$81)</f>
        <v>394.09688538736003</v>
      </c>
      <c r="T12" s="222">
        <f>IF($B$81=0,0,(SUMIF($N$6:$N$28,$U12,M$6:M$28)+SUMIF($N$91:$N$118,$U12,M$91:M$118))*$I$83*Poor!$B$81/$B$81)</f>
        <v>492.62110673420011</v>
      </c>
      <c r="U12" s="223">
        <v>6</v>
      </c>
      <c r="V12" s="56"/>
      <c r="W12" s="117"/>
      <c r="X12" s="118"/>
      <c r="Y12" s="184">
        <f t="shared" si="9"/>
        <v>1.1474159402241595E-2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7.6876867995018692E-3</v>
      </c>
      <c r="AF12" s="122">
        <f>1-SUM(Z12,AB12,AD12)</f>
        <v>0.32999999999999996</v>
      </c>
      <c r="AG12" s="121">
        <f>$M12*AF12*4</f>
        <v>3.7864726027397261E-3</v>
      </c>
      <c r="AH12" s="123">
        <f t="shared" si="12"/>
        <v>1</v>
      </c>
      <c r="AI12" s="184">
        <f t="shared" si="13"/>
        <v>2.8685398505603988E-3</v>
      </c>
      <c r="AJ12" s="120">
        <f t="shared" si="14"/>
        <v>0</v>
      </c>
      <c r="AK12" s="119">
        <f t="shared" si="15"/>
        <v>5.7370797011207977E-3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Sweet Potatoes: kg produced</v>
      </c>
      <c r="B13" s="216">
        <f>IF([1]Summ!E1051="",0,[1]Summ!E1051)</f>
        <v>2.2359900373599004E-2</v>
      </c>
      <c r="C13" s="216">
        <f>IF([1]Summ!F1051="",0,[1]Summ!F1051)</f>
        <v>1.4906600249065999E-2</v>
      </c>
      <c r="D13" s="24">
        <f t="shared" si="0"/>
        <v>3.7266500622665004E-2</v>
      </c>
      <c r="E13" s="26">
        <v>0.2</v>
      </c>
      <c r="H13" s="24">
        <f t="shared" si="1"/>
        <v>0.2</v>
      </c>
      <c r="I13" s="22">
        <f t="shared" si="2"/>
        <v>7.4533001245330015E-3</v>
      </c>
      <c r="J13" s="24">
        <f t="shared" si="3"/>
        <v>7.4533001245330015E-3</v>
      </c>
      <c r="K13" s="22">
        <f t="shared" si="4"/>
        <v>2.2359900373599004E-2</v>
      </c>
      <c r="L13" s="22">
        <f t="shared" si="5"/>
        <v>4.4719800747198011E-3</v>
      </c>
      <c r="M13" s="225">
        <f t="shared" si="6"/>
        <v>7.4533001245330015E-3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4">
        <f t="shared" si="9"/>
        <v>2.9813200498132006E-2</v>
      </c>
      <c r="Z13" s="116">
        <v>1</v>
      </c>
      <c r="AA13" s="121">
        <f>$M13*Z13*4</f>
        <v>2.9813200498132006E-2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7.4533001245330015E-3</v>
      </c>
      <c r="AJ13" s="120">
        <f t="shared" si="14"/>
        <v>1.4906600249066003E-2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Other crop: Cabbage</v>
      </c>
      <c r="B14" s="216">
        <f>IF([1]Summ!E1052="",0,[1]Summ!E1052)</f>
        <v>4.3477584059775842E-3</v>
      </c>
      <c r="C14" s="216">
        <f>IF([1]Summ!F1052="",0,[1]Summ!F1052)</f>
        <v>2.0594645080946449E-3</v>
      </c>
      <c r="D14" s="24">
        <f t="shared" si="0"/>
        <v>6.4072229140722291E-3</v>
      </c>
      <c r="E14" s="26">
        <v>0.2</v>
      </c>
      <c r="F14" s="22"/>
      <c r="H14" s="24">
        <f t="shared" si="1"/>
        <v>0.2</v>
      </c>
      <c r="I14" s="22">
        <f t="shared" si="2"/>
        <v>1.2814445828144459E-3</v>
      </c>
      <c r="J14" s="24">
        <f>IF(I$32&lt;=1+I131,I14,B14*H14+J$33*(I14-B14*H14))</f>
        <v>1.2814445828144459E-3</v>
      </c>
      <c r="K14" s="22">
        <f t="shared" si="4"/>
        <v>4.3477584059775842E-3</v>
      </c>
      <c r="L14" s="22">
        <f t="shared" si="5"/>
        <v>8.6955168119551686E-4</v>
      </c>
      <c r="M14" s="225">
        <f t="shared" si="6"/>
        <v>1.2814445828144459E-3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4">
        <f>M14*4</f>
        <v>5.1257783312577835E-3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5.1257783312577835E-3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1.2814445828144459E-3</v>
      </c>
      <c r="AJ14" s="120">
        <f t="shared" si="14"/>
        <v>2.5628891656288917E-3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Other crop: pumpkin</v>
      </c>
      <c r="B15" s="216">
        <f>IF([1]Summ!E1053="",0,[1]Summ!E1053)</f>
        <v>6.3544987546699881E-3</v>
      </c>
      <c r="C15" s="216">
        <f>IF([1]Summ!F1053="",0,[1]Summ!F1053)</f>
        <v>0</v>
      </c>
      <c r="D15" s="24">
        <f t="shared" si="0"/>
        <v>6.3544987546699881E-3</v>
      </c>
      <c r="E15" s="26">
        <v>0.2</v>
      </c>
      <c r="F15" s="22"/>
      <c r="H15" s="24">
        <f t="shared" si="1"/>
        <v>0.2</v>
      </c>
      <c r="I15" s="22">
        <f t="shared" si="2"/>
        <v>1.2708997509339977E-3</v>
      </c>
      <c r="J15" s="24">
        <f>IF(I$32&lt;=1+I131,I15,B15*H15+J$33*(I15-B15*H15))</f>
        <v>1.2708997509339977E-3</v>
      </c>
      <c r="K15" s="22">
        <f t="shared" si="4"/>
        <v>6.3544987546699881E-3</v>
      </c>
      <c r="L15" s="22">
        <f t="shared" si="5"/>
        <v>1.2708997509339977E-3</v>
      </c>
      <c r="M15" s="226">
        <f t="shared" si="6"/>
        <v>1.2708997509339977E-3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5.083599003735991E-3</v>
      </c>
      <c r="Z15" s="116">
        <v>0.25</v>
      </c>
      <c r="AA15" s="121">
        <f t="shared" si="16"/>
        <v>1.2708997509339977E-3</v>
      </c>
      <c r="AB15" s="116">
        <v>0.25</v>
      </c>
      <c r="AC15" s="121">
        <f t="shared" si="7"/>
        <v>1.2708997509339977E-3</v>
      </c>
      <c r="AD15" s="116">
        <v>0.25</v>
      </c>
      <c r="AE15" s="121">
        <f t="shared" si="8"/>
        <v>1.2708997509339977E-3</v>
      </c>
      <c r="AF15" s="122">
        <f t="shared" si="10"/>
        <v>0.25</v>
      </c>
      <c r="AG15" s="121">
        <f t="shared" si="11"/>
        <v>1.2708997509339977E-3</v>
      </c>
      <c r="AH15" s="123">
        <f t="shared" si="12"/>
        <v>1</v>
      </c>
      <c r="AI15" s="184">
        <f t="shared" si="13"/>
        <v>1.2708997509339977E-3</v>
      </c>
      <c r="AJ15" s="120">
        <f t="shared" si="14"/>
        <v>1.2708997509339977E-3</v>
      </c>
      <c r="AK15" s="119">
        <f t="shared" si="15"/>
        <v>1.2708997509339977E-3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Other crop: Spinach: no produced</v>
      </c>
      <c r="B16" s="216">
        <f>IF([1]Summ!E1054="",0,[1]Summ!E1054)</f>
        <v>9.4146948941469487E-4</v>
      </c>
      <c r="C16" s="216">
        <f>IF([1]Summ!F1054="",0,[1]Summ!F1054)</f>
        <v>0</v>
      </c>
      <c r="D16" s="24">
        <f t="shared" si="0"/>
        <v>9.4146948941469487E-4</v>
      </c>
      <c r="E16" s="26">
        <v>0.2</v>
      </c>
      <c r="F16" s="22"/>
      <c r="H16" s="24">
        <f t="shared" si="1"/>
        <v>0.2</v>
      </c>
      <c r="I16" s="22">
        <f t="shared" si="2"/>
        <v>1.8829389788293897E-4</v>
      </c>
      <c r="J16" s="24">
        <f>IF(I$32&lt;=1+I131,I16,B16*H16+J$33*(I16-B16*H16))</f>
        <v>1.8829389788293897E-4</v>
      </c>
      <c r="K16" s="22">
        <f t="shared" si="4"/>
        <v>9.4146948941469487E-4</v>
      </c>
      <c r="L16" s="22">
        <f t="shared" si="5"/>
        <v>1.8829389788293897E-4</v>
      </c>
      <c r="M16" s="224">
        <f t="shared" si="6"/>
        <v>1.8829389788293897E-4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4">
        <f t="shared" si="9"/>
        <v>7.5317559153175589E-4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7.5317559153175589E-4</v>
      </c>
      <c r="AH16" s="123">
        <f t="shared" si="12"/>
        <v>1</v>
      </c>
      <c r="AI16" s="184">
        <f t="shared" si="13"/>
        <v>1.8829389788293897E-4</v>
      </c>
      <c r="AJ16" s="120">
        <f t="shared" si="14"/>
        <v>0</v>
      </c>
      <c r="AK16" s="119">
        <f t="shared" si="15"/>
        <v>3.7658779576587795E-4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FISHING -- see worksheet Data 3</v>
      </c>
      <c r="B17" s="216">
        <f>IF([1]Summ!E1055="",0,[1]Summ!E1055)</f>
        <v>1.0535491905354919E-2</v>
      </c>
      <c r="C17" s="216">
        <f>IF([1]Summ!F1055="",0,[1]Summ!F1055)</f>
        <v>2.633872976338731E-3</v>
      </c>
      <c r="D17" s="24">
        <f>SUM(B17,C17)</f>
        <v>1.316936488169365E-2</v>
      </c>
      <c r="E17" s="26">
        <v>1</v>
      </c>
      <c r="F17" s="22"/>
      <c r="H17" s="24">
        <f t="shared" si="1"/>
        <v>1</v>
      </c>
      <c r="I17" s="22">
        <f t="shared" si="2"/>
        <v>1.316936488169365E-2</v>
      </c>
      <c r="J17" s="24">
        <f t="shared" ref="J17:J25" si="17">IF(I$32&lt;=1+I131,I17,B17*H17+J$33*(I17-B17*H17))</f>
        <v>1.316936488169365E-2</v>
      </c>
      <c r="K17" s="22">
        <f t="shared" si="4"/>
        <v>1.0535491905354919E-2</v>
      </c>
      <c r="L17" s="22">
        <f t="shared" si="5"/>
        <v>1.0535491905354919E-2</v>
      </c>
      <c r="M17" s="225">
        <f t="shared" si="6"/>
        <v>1.316936488169365E-2</v>
      </c>
      <c r="N17" s="229">
        <v>6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49904.052521012367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4">
        <f t="shared" si="9"/>
        <v>5.2677459526774599E-2</v>
      </c>
      <c r="Z17" s="116">
        <v>0.29409999999999997</v>
      </c>
      <c r="AA17" s="121">
        <f t="shared" si="16"/>
        <v>1.5492440846824409E-2</v>
      </c>
      <c r="AB17" s="116">
        <v>0.17649999999999999</v>
      </c>
      <c r="AC17" s="121">
        <f t="shared" si="7"/>
        <v>9.2975716064757161E-3</v>
      </c>
      <c r="AD17" s="116">
        <v>0.23530000000000001</v>
      </c>
      <c r="AE17" s="121">
        <f t="shared" si="8"/>
        <v>1.2395006226650063E-2</v>
      </c>
      <c r="AF17" s="122">
        <f t="shared" si="10"/>
        <v>0.29410000000000003</v>
      </c>
      <c r="AG17" s="121">
        <f t="shared" si="11"/>
        <v>1.5492440846824411E-2</v>
      </c>
      <c r="AH17" s="123">
        <f t="shared" si="12"/>
        <v>1</v>
      </c>
      <c r="AI17" s="184">
        <f t="shared" si="13"/>
        <v>1.3169364881693651E-2</v>
      </c>
      <c r="AJ17" s="120">
        <f t="shared" si="14"/>
        <v>1.2395006226650063E-2</v>
      </c>
      <c r="AK17" s="119">
        <f t="shared" si="15"/>
        <v>1.3943723536737236E-2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WILD FOODS -- see worksheet Data 3</v>
      </c>
      <c r="B18" s="216">
        <f>IF([1]Summ!E1056="",0,[1]Summ!E1056)</f>
        <v>1.0199252801992528E-3</v>
      </c>
      <c r="C18" s="216">
        <f>IF([1]Summ!F1056="",0,[1]Summ!F1056)</f>
        <v>2.549813200498133E-4</v>
      </c>
      <c r="D18" s="24">
        <f t="shared" ref="D18:D20" si="18">SUM(B18,C18)</f>
        <v>1.2749066002490661E-3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1.2749066002490661E-3</v>
      </c>
      <c r="J18" s="24">
        <f t="shared" si="17"/>
        <v>1.2749066002490661E-3</v>
      </c>
      <c r="K18" s="22">
        <f t="shared" ref="K18:K20" si="21">B18</f>
        <v>1.0199252801992528E-3</v>
      </c>
      <c r="L18" s="22">
        <f t="shared" ref="L18:L20" si="22">IF(K18="","",K18*H18)</f>
        <v>1.0199252801992528E-3</v>
      </c>
      <c r="M18" s="225">
        <f t="shared" ref="M18:M20" si="23">J18</f>
        <v>1.2749066002490661E-3</v>
      </c>
      <c r="N18" s="229">
        <v>6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6022.8523753089175</v>
      </c>
      <c r="S18" s="222">
        <f>IF($B$81=0,0,(SUMIF($N$6:$N$28,$U18,L$6:L$28)+SUMIF($N$91:$N$118,$U18,L$91:L$118))*$I$83*Poor!$B$81/$B$81)</f>
        <v>6499.8075534659374</v>
      </c>
      <c r="T18" s="222">
        <f>IF($B$81=0,0,(SUMIF($N$6:$N$28,$U18,M$6:M$28)+SUMIF($N$91:$N$118,$U18,M$91:M$118))*$I$83*Poor!$B$81/$B$81)</f>
        <v>6499.8075534659374</v>
      </c>
      <c r="U18" s="223">
        <v>12</v>
      </c>
      <c r="V18" s="56"/>
      <c r="W18" s="110"/>
      <c r="X18" s="118"/>
      <c r="Y18" s="184">
        <f t="shared" ref="Y18:Y20" si="24">M18*4</f>
        <v>5.0996264009962643E-3</v>
      </c>
      <c r="Z18" s="116">
        <v>1.2941</v>
      </c>
      <c r="AA18" s="121">
        <f t="shared" ref="AA18:AA20" si="25">$M18*Z18*4</f>
        <v>6.5994265255292662E-3</v>
      </c>
      <c r="AB18" s="116">
        <v>1.1765000000000001</v>
      </c>
      <c r="AC18" s="121">
        <f t="shared" ref="AC18:AC20" si="26">$M18*AB18*4</f>
        <v>5.9997104607721055E-3</v>
      </c>
      <c r="AD18" s="116">
        <v>1.2353000000000001</v>
      </c>
      <c r="AE18" s="121">
        <f t="shared" ref="AE18:AE20" si="27">$M18*AD18*4</f>
        <v>6.2995684931506854E-3</v>
      </c>
      <c r="AF18" s="122">
        <f t="shared" ref="AF18:AF20" si="28">1-SUM(Z18,AB18,AD18)</f>
        <v>-2.7059000000000002</v>
      </c>
      <c r="AG18" s="121">
        <f t="shared" ref="AG18:AG20" si="29">$M18*AF18*4</f>
        <v>-1.3799079078455793E-2</v>
      </c>
      <c r="AH18" s="123">
        <f t="shared" ref="AH18:AH20" si="30">SUM(Z18,AB18,AD18,AF18)</f>
        <v>1</v>
      </c>
      <c r="AI18" s="184">
        <f t="shared" ref="AI18:AI20" si="31">SUM(AA18,AC18,AE18,AG18)/4</f>
        <v>1.2749066002490659E-3</v>
      </c>
      <c r="AJ18" s="120">
        <f t="shared" ref="AJ18:AJ20" si="32">(AA18+AC18)/2</f>
        <v>6.2995684931506854E-3</v>
      </c>
      <c r="AK18" s="119">
        <f t="shared" ref="AK18:AK20" si="33">(AE18+AG18)/2</f>
        <v>-3.7497552926525537E-3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6">
        <f>IF([1]Summ!E1057="",0,[1]Summ!E1057)</f>
        <v>0</v>
      </c>
      <c r="C19" s="216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4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6">
        <f>IF([1]Summ!E1058="",0,[1]Summ!E1058)</f>
        <v>0</v>
      </c>
      <c r="C20" s="216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0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4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4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6">
        <f>IF([1]Summ!E1059="",0,[1]Summ!E1059)</f>
        <v>0</v>
      </c>
      <c r="C21" s="216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3518.0522319500446</v>
      </c>
      <c r="S21" s="222">
        <f>IF($B$81=0,0,(SUMIF($N$6:$N$28,$U21,L$6:L$28)+SUMIF($N$91:$N$118,$U21,L$91:L$118))*$I$83*Poor!$B$81/$B$81)</f>
        <v>2301</v>
      </c>
      <c r="T21" s="222">
        <f>IF($B$81=0,0,(SUMIF($N$6:$N$28,$U21,M$6:M$28)+SUMIF($N$91:$N$118,$U21,M$91:M$118))*$I$83*Poor!$B$81/$B$81)</f>
        <v>2301</v>
      </c>
      <c r="U21" s="223">
        <v>15</v>
      </c>
      <c r="V21" s="56"/>
      <c r="W21" s="110"/>
      <c r="X21" s="118"/>
      <c r="Y21" s="184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4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6">
        <f>IF([1]Summ!E1060="",0,[1]Summ!E1060)</f>
        <v>0</v>
      </c>
      <c r="C22" s="216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5">
        <f t="shared" si="39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1299.5847010680307</v>
      </c>
      <c r="S22" s="222">
        <f>IF($B$81=0,0,(SUMIF($N$6:$N$28,$U22,L$6:L$28)+SUMIF($N$91:$N$118,$U22,L$91:L$118))*$I$83*Poor!$B$81/$B$81)</f>
        <v>943.50000000000023</v>
      </c>
      <c r="T22" s="222">
        <f>IF($B$81=0,0,(SUMIF($N$6:$N$28,$U22,M$6:M$28)+SUMIF($N$91:$N$118,$U22,M$91:M$118))*$I$83*Poor!$B$81/$B$81)</f>
        <v>943.50000000000023</v>
      </c>
      <c r="U22" s="223">
        <v>16</v>
      </c>
      <c r="V22" s="56"/>
      <c r="W22" s="110"/>
      <c r="X22" s="118"/>
      <c r="Y22" s="184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4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6">
        <f>IF([1]Summ!E1061="",0,[1]Summ!E1061)</f>
        <v>0</v>
      </c>
      <c r="C23" s="216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/>
      <c r="O23" s="2"/>
      <c r="P23" s="22"/>
      <c r="Q23" s="171" t="s">
        <v>100</v>
      </c>
      <c r="R23" s="179">
        <f>SUM(R7:R22)</f>
        <v>75518.552868695377</v>
      </c>
      <c r="S23" s="179">
        <f>SUM(S7:S22)</f>
        <v>14659.821125724675</v>
      </c>
      <c r="T23" s="179">
        <f>SUM(T7:T22)</f>
        <v>14633.256622941703</v>
      </c>
      <c r="U23" s="56"/>
      <c r="V23" s="56"/>
      <c r="W23" s="110"/>
      <c r="X23" s="118"/>
      <c r="Y23" s="184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4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6">
        <f>IF([1]Summ!E1062="",0,[1]Summ!E1062)</f>
        <v>0</v>
      </c>
      <c r="C24" s="216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47494.887852133979</v>
      </c>
      <c r="S24" s="41">
        <f>IF($B$81=0,0,(SUM(($B$70*$H$70))+((1-$D$29)*$I$83))*Poor!$B$81/$B$81)</f>
        <v>47494.887852133979</v>
      </c>
      <c r="T24" s="41">
        <f>IF($B$81=0,0,(SUM(($B$70*$H$70))+((1-$D$29)*$I$83))*Poor!$B$81/$B$81)</f>
        <v>47494.887852133979</v>
      </c>
      <c r="U24" s="56"/>
      <c r="V24" s="56"/>
      <c r="W24" s="110"/>
      <c r="X24" s="118"/>
      <c r="Y24" s="184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4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6">
        <f>IF([1]Summ!E1063="",0,[1]Summ!E1063)</f>
        <v>0</v>
      </c>
      <c r="C25" s="216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63918.914518800651</v>
      </c>
      <c r="S25" s="41">
        <f>IF($B$81=0,0,(SUM(($B$70*$H$70),($B$71*$H$71))+((1-$D$29)*$I$83))*Poor!$B$81/$B$81)</f>
        <v>63918.914518800651</v>
      </c>
      <c r="T25" s="41">
        <f>IF($B$81=0,0,(SUM(($B$70*$H$70),($B$71*$H$71))+((1-$D$29)*$I$83))*Poor!$B$81/$B$81)</f>
        <v>63918.914518800651</v>
      </c>
      <c r="U25" s="56"/>
      <c r="V25" s="56"/>
      <c r="W25" s="110"/>
      <c r="X25" s="118"/>
      <c r="Y25" s="184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4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6">
        <f>IF([1]Summ!E1064="",0,[1]Summ!E1064)</f>
        <v>0.19058254630023541</v>
      </c>
      <c r="C26" s="216">
        <f>IF([1]Summ!F1064="",0,[1]Summ!F1064)</f>
        <v>0</v>
      </c>
      <c r="D26" s="24">
        <f>SUM(B26,C26)</f>
        <v>0.19058254630023541</v>
      </c>
      <c r="E26" s="26">
        <v>1</v>
      </c>
      <c r="F26" s="22"/>
      <c r="H26" s="24">
        <f t="shared" si="1"/>
        <v>1</v>
      </c>
      <c r="I26" s="22">
        <f t="shared" si="2"/>
        <v>0.19058254630023541</v>
      </c>
      <c r="J26" s="24">
        <f>IF(I$32&lt;=1+I131,I26,B26*H26+J$33*(I26-B26*H26))</f>
        <v>0.19058254630023541</v>
      </c>
      <c r="K26" s="22">
        <f t="shared" si="4"/>
        <v>0.19058254630023541</v>
      </c>
      <c r="L26" s="22">
        <f t="shared" si="5"/>
        <v>0.19058254630023541</v>
      </c>
      <c r="M26" s="224">
        <f t="shared" si="6"/>
        <v>0.19058254630023541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96656.83451880065</v>
      </c>
      <c r="S26" s="41">
        <f>IF($B$81=0,0,(SUM(($B$70*$H$70),($B$71*$H$71),($B$72*$H$72))+((1-$D$29)*$I$83))*Poor!$B$81/$B$81)</f>
        <v>96656.83451880065</v>
      </c>
      <c r="T26" s="41">
        <f>IF($B$81=0,0,(SUM(($B$70*$H$70),($B$71*$H$71),($B$72*$H$72))+((1-$D$29)*$I$83))*Poor!$B$81/$B$81)</f>
        <v>96656.83451880065</v>
      </c>
      <c r="U26" s="56"/>
      <c r="V26" s="56"/>
      <c r="W26" s="110"/>
      <c r="X26" s="118"/>
      <c r="Y26" s="184">
        <f t="shared" si="9"/>
        <v>0.76233018520094165</v>
      </c>
      <c r="Z26" s="116">
        <v>0.25</v>
      </c>
      <c r="AA26" s="121">
        <f t="shared" si="16"/>
        <v>0.19058254630023541</v>
      </c>
      <c r="AB26" s="116">
        <v>0.25</v>
      </c>
      <c r="AC26" s="121">
        <f t="shared" si="7"/>
        <v>0.19058254630023541</v>
      </c>
      <c r="AD26" s="116">
        <v>0.25</v>
      </c>
      <c r="AE26" s="121">
        <f t="shared" si="8"/>
        <v>0.19058254630023541</v>
      </c>
      <c r="AF26" s="122">
        <f t="shared" si="10"/>
        <v>0.25</v>
      </c>
      <c r="AG26" s="121">
        <f t="shared" si="11"/>
        <v>0.19058254630023541</v>
      </c>
      <c r="AH26" s="123">
        <f t="shared" si="12"/>
        <v>1</v>
      </c>
      <c r="AI26" s="184">
        <f t="shared" si="13"/>
        <v>0.19058254630023541</v>
      </c>
      <c r="AJ26" s="120">
        <f t="shared" si="14"/>
        <v>0.19058254630023541</v>
      </c>
      <c r="AK26" s="119">
        <f t="shared" si="15"/>
        <v>0.19058254630023541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6">
        <f>IF([1]Summ!E1065="",0,[1]Summ!E1065)</f>
        <v>3.7833707970112082E-2</v>
      </c>
      <c r="C27" s="216">
        <f>IF([1]Summ!F1065="",0,[1]Summ!F1065)</f>
        <v>-3.7833707970112082E-2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3.7833707970112082E-2</v>
      </c>
      <c r="L27" s="22">
        <f t="shared" si="5"/>
        <v>3.7833707970112082E-2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6">
        <f>IF([1]Summ!E1066="",0,[1]Summ!E1066)</f>
        <v>0</v>
      </c>
      <c r="C28" s="216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4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6">
        <f>IF([1]Summ!E1067="",0,[1]Summ!E1067)</f>
        <v>0.21354863340597754</v>
      </c>
      <c r="C29" s="216">
        <f>IF([1]Summ!F1067="",0,[1]Summ!F1067)</f>
        <v>1.1420915963576129E-2</v>
      </c>
      <c r="D29" s="24">
        <f>SUM(B29,C29)</f>
        <v>0.22496954936955368</v>
      </c>
      <c r="E29" s="26">
        <v>1</v>
      </c>
      <c r="F29" s="22"/>
      <c r="H29" s="24">
        <f t="shared" si="1"/>
        <v>1</v>
      </c>
      <c r="I29" s="22">
        <f t="shared" si="2"/>
        <v>0.22496954936955368</v>
      </c>
      <c r="J29" s="24">
        <f>IF(I$32&lt;=1+I131,I29,B29*H29+J$33*(I29-B29*H29))</f>
        <v>0.22496954936955368</v>
      </c>
      <c r="K29" s="22">
        <f t="shared" si="4"/>
        <v>0.21354863340597754</v>
      </c>
      <c r="L29" s="22">
        <f t="shared" si="5"/>
        <v>0.21354863340597754</v>
      </c>
      <c r="M29" s="224">
        <f t="shared" si="6"/>
        <v>0.22496954936955368</v>
      </c>
      <c r="N29" s="229"/>
      <c r="P29" s="22"/>
      <c r="V29" s="56"/>
      <c r="W29" s="110"/>
      <c r="X29" s="118"/>
      <c r="Y29" s="184">
        <f t="shared" si="9"/>
        <v>0.89987819747821474</v>
      </c>
      <c r="Z29" s="116">
        <v>0.25</v>
      </c>
      <c r="AA29" s="121">
        <f t="shared" si="16"/>
        <v>0.22496954936955368</v>
      </c>
      <c r="AB29" s="116">
        <v>0.25</v>
      </c>
      <c r="AC29" s="121">
        <f t="shared" si="7"/>
        <v>0.22496954936955368</v>
      </c>
      <c r="AD29" s="116">
        <v>0.25</v>
      </c>
      <c r="AE29" s="121">
        <f t="shared" si="8"/>
        <v>0.22496954936955368</v>
      </c>
      <c r="AF29" s="122">
        <f t="shared" si="10"/>
        <v>0.25</v>
      </c>
      <c r="AG29" s="121">
        <f t="shared" si="11"/>
        <v>0.22496954936955368</v>
      </c>
      <c r="AH29" s="123">
        <f t="shared" si="12"/>
        <v>1</v>
      </c>
      <c r="AI29" s="184">
        <f t="shared" si="13"/>
        <v>0.22496954936955368</v>
      </c>
      <c r="AJ29" s="120">
        <f t="shared" si="14"/>
        <v>0.22496954936955368</v>
      </c>
      <c r="AK29" s="119">
        <f t="shared" si="15"/>
        <v>0.22496954936955368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6">
        <f>IF([1]Summ!E1068="",0,[1]Summ!E1068)</f>
        <v>0.66125891656288927</v>
      </c>
      <c r="C30" s="103"/>
      <c r="D30" s="24">
        <f>(D119-B124)</f>
        <v>1.2633657306107833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0.66125891656288927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32835.066726409306</v>
      </c>
      <c r="T30" s="234">
        <f t="shared" si="50"/>
        <v>32861.63122919228</v>
      </c>
      <c r="V30" s="56"/>
      <c r="W30" s="110"/>
      <c r="X30" s="118"/>
      <c r="Y30" s="184">
        <f>M30*4</f>
        <v>0</v>
      </c>
      <c r="Z30" s="122">
        <f>IF($Y30=0,0,AA30/($Y$30))</f>
        <v>0</v>
      </c>
      <c r="AA30" s="188">
        <f>IF(AA79*4/$I$83+SUM(AA6:AA29)&lt;1,AA79*4/$I$83,1-SUM(AA6:AA29))</f>
        <v>0.27615524886740972</v>
      </c>
      <c r="AB30" s="122">
        <f>IF($Y30=0,0,AC30/($Y$30))</f>
        <v>0</v>
      </c>
      <c r="AC30" s="188">
        <f>IF(AC79*4/$I$83+SUM(AC6:AC29)&lt;1,AC79*4/$I$83,1-SUM(AC6:AC29))</f>
        <v>-9.2051749622469897E-2</v>
      </c>
      <c r="AD30" s="122">
        <f>IF($Y30=0,0,AE30/($Y$30))</f>
        <v>0</v>
      </c>
      <c r="AE30" s="188">
        <f>IF(AE79*4/$I$83+SUM(AE6:AE29)&lt;1,AE79*4/$I$83,1-SUM(AE6:AE29))</f>
        <v>-9.2051749622469897E-2</v>
      </c>
      <c r="AF30" s="122">
        <f>IF($Y30=0,0,AG30/($Y$30))</f>
        <v>0</v>
      </c>
      <c r="AG30" s="188">
        <f>IF(AG79*4/$I$83+SUM(AG6:AG29)&lt;1,AG79*4/$I$83,1-SUM(AG6:AG29))</f>
        <v>-9.2051749622469897E-2</v>
      </c>
      <c r="AH30" s="123">
        <f t="shared" si="12"/>
        <v>0</v>
      </c>
      <c r="AI30" s="184">
        <f t="shared" si="13"/>
        <v>0</v>
      </c>
      <c r="AJ30" s="120">
        <f t="shared" si="14"/>
        <v>9.2051749622469911E-2</v>
      </c>
      <c r="AK30" s="119">
        <f t="shared" si="15"/>
        <v>-9.2051749622469897E-2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0.5335435855879942</v>
      </c>
      <c r="K31" s="22" t="str">
        <f t="shared" si="4"/>
        <v/>
      </c>
      <c r="L31" s="22">
        <f>(1-SUM(L6:L30))</f>
        <v>0.51770625355966504</v>
      </c>
      <c r="M31" s="178">
        <f t="shared" si="6"/>
        <v>0.5335435855879942</v>
      </c>
      <c r="N31" s="167">
        <f>M31*I83</f>
        <v>18196.475464468389</v>
      </c>
      <c r="P31" s="22"/>
      <c r="Q31" s="238" t="s">
        <v>142</v>
      </c>
      <c r="R31" s="234">
        <f t="shared" si="50"/>
        <v>0</v>
      </c>
      <c r="S31" s="234">
        <f t="shared" si="50"/>
        <v>49259.093393075978</v>
      </c>
      <c r="T31" s="234">
        <f>IF(T25&gt;T$23,T25-T$23,0)</f>
        <v>49285.657895858953</v>
      </c>
      <c r="V31" s="56"/>
      <c r="W31" s="129" t="s">
        <v>84</v>
      </c>
      <c r="X31" s="130"/>
      <c r="Y31" s="121">
        <f>M31*4</f>
        <v>2.1341743423519768</v>
      </c>
      <c r="Z31" s="131"/>
      <c r="AA31" s="132">
        <f>1-AA32+IF($Y32&lt;0,$Y32/4,0)</f>
        <v>0.18098247007986223</v>
      </c>
      <c r="AB31" s="131"/>
      <c r="AC31" s="133">
        <f>1-AC32+IF($Y32&lt;0,$Y32/4,0)</f>
        <v>0.65204963363823498</v>
      </c>
      <c r="AD31" s="134"/>
      <c r="AE31" s="133">
        <f>1-AE32+IF($Y32&lt;0,$Y32/4,0)</f>
        <v>0.64349649353860849</v>
      </c>
      <c r="AF31" s="134"/>
      <c r="AG31" s="133">
        <f>1-AG32+IF($Y32&lt;0,$Y32/4,0)</f>
        <v>0.65764574509527107</v>
      </c>
      <c r="AH31" s="123"/>
      <c r="AI31" s="183">
        <f>SUM(AA31,AC31,AE31,AG31)/4</f>
        <v>0.5335435855879942</v>
      </c>
      <c r="AJ31" s="135">
        <f t="shared" si="14"/>
        <v>0.41651605185904861</v>
      </c>
      <c r="AK31" s="136">
        <f t="shared" si="15"/>
        <v>0.65057111931693978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1.2441558082087036</v>
      </c>
      <c r="C32" s="29">
        <f>SUM(C6:C31)</f>
        <v>1.4909090698943497E-2</v>
      </c>
      <c r="D32" s="24">
        <f>SUM(D6:D30)</f>
        <v>1.8611717129555414</v>
      </c>
      <c r="E32" s="2"/>
      <c r="F32" s="2"/>
      <c r="H32" s="17"/>
      <c r="I32" s="22">
        <f>SUM(I6:I30)</f>
        <v>0.4664564144120058</v>
      </c>
      <c r="J32" s="17"/>
      <c r="L32" s="22">
        <f>SUM(L6:L30)</f>
        <v>0.48229374644033496</v>
      </c>
      <c r="M32" s="23"/>
      <c r="N32" s="56"/>
      <c r="O32" s="2"/>
      <c r="P32" s="22"/>
      <c r="Q32" s="234" t="s">
        <v>143</v>
      </c>
      <c r="R32" s="234">
        <f t="shared" si="50"/>
        <v>21138.281650105273</v>
      </c>
      <c r="S32" s="234">
        <f t="shared" si="50"/>
        <v>81997.013393075977</v>
      </c>
      <c r="T32" s="234">
        <f t="shared" si="50"/>
        <v>82023.577895858951</v>
      </c>
      <c r="V32" s="56"/>
      <c r="W32" s="110"/>
      <c r="X32" s="118"/>
      <c r="Y32" s="115">
        <f>SUM(Y6:Y31)</f>
        <v>4</v>
      </c>
      <c r="Z32" s="137"/>
      <c r="AA32" s="138">
        <f>SUM(AA6:AA30)</f>
        <v>0.81901752992013777</v>
      </c>
      <c r="AB32" s="137"/>
      <c r="AC32" s="139">
        <f>SUM(AC6:AC30)</f>
        <v>0.34795036636176502</v>
      </c>
      <c r="AD32" s="137"/>
      <c r="AE32" s="139">
        <f>SUM(AE6:AE30)</f>
        <v>0.35650350646139151</v>
      </c>
      <c r="AF32" s="137"/>
      <c r="AG32" s="139">
        <f>SUM(AG6:AG30)</f>
        <v>0.34235425490472893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-40.69573744576406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31089.182431390545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5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7">
        <f>IF([1]Summ!E1072="",0,[1]Summ!E1072)</f>
        <v>4000</v>
      </c>
      <c r="C37" s="217">
        <f>IF([1]Summ!F1072="",0,[1]Summ!F1072)</f>
        <v>0</v>
      </c>
      <c r="D37" s="38">
        <f>SUM(B37,C37)</f>
        <v>4000</v>
      </c>
      <c r="E37" s="233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2360</v>
      </c>
      <c r="J37" s="38">
        <f t="shared" ref="J37:J49" si="53">J91*I$83</f>
        <v>2360.0000000000005</v>
      </c>
      <c r="K37" s="40">
        <f t="shared" ref="K37:K49" si="54">(B37/B$65)</f>
        <v>9.4026938717942696E-2</v>
      </c>
      <c r="L37" s="22">
        <f t="shared" ref="L37:L49" si="55">(K37*H37)</f>
        <v>5.5475893843586185E-2</v>
      </c>
      <c r="M37" s="24">
        <f t="shared" ref="M37:M49" si="56">J37/B$65</f>
        <v>5.5475893843586199E-2</v>
      </c>
      <c r="N37" s="2"/>
      <c r="O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1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2360.0000000000005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2360.0000000000005</v>
      </c>
      <c r="AJ37" s="148">
        <f>(AA37+AC37)</f>
        <v>2360.0000000000005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7">
        <f>IF([1]Summ!E1073="",0,[1]Summ!E1073)</f>
        <v>600</v>
      </c>
      <c r="C38" s="217">
        <f>IF([1]Summ!F1073="",0,[1]Summ!F1073)</f>
        <v>0</v>
      </c>
      <c r="D38" s="38">
        <f t="shared" ref="D38:D47" si="58">SUM(B38,C38)</f>
        <v>600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354</v>
      </c>
      <c r="J38" s="38">
        <f t="shared" si="53"/>
        <v>354</v>
      </c>
      <c r="K38" s="40">
        <f t="shared" si="54"/>
        <v>1.4104040807691403E-2</v>
      </c>
      <c r="L38" s="22">
        <f t="shared" si="55"/>
        <v>8.3213840765379282E-3</v>
      </c>
      <c r="M38" s="24">
        <f t="shared" si="56"/>
        <v>8.3213840765379282E-3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354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0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354</v>
      </c>
      <c r="AJ38" s="148">
        <f t="shared" ref="AJ38:AJ64" si="62">(AA38+AC38)</f>
        <v>354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Chicken/ duck sales: no. sold</v>
      </c>
      <c r="B39" s="217">
        <f>IF([1]Summ!E1074="",0,[1]Summ!E1074)</f>
        <v>249</v>
      </c>
      <c r="C39" s="217">
        <f>IF([1]Summ!F1074="",0,[1]Summ!F1074)</f>
        <v>0</v>
      </c>
      <c r="D39" s="38">
        <f t="shared" si="58"/>
        <v>249</v>
      </c>
      <c r="E39" s="26">
        <v>1</v>
      </c>
      <c r="F39" s="26">
        <v>1.18</v>
      </c>
      <c r="G39" s="22">
        <f t="shared" si="59"/>
        <v>1.65</v>
      </c>
      <c r="H39" s="24">
        <f t="shared" si="51"/>
        <v>1.18</v>
      </c>
      <c r="I39" s="39">
        <f t="shared" si="52"/>
        <v>293.82</v>
      </c>
      <c r="J39" s="38">
        <f t="shared" si="53"/>
        <v>293.82</v>
      </c>
      <c r="K39" s="40">
        <f t="shared" si="54"/>
        <v>5.8531769351919324E-3</v>
      </c>
      <c r="L39" s="22">
        <f t="shared" si="55"/>
        <v>6.9067487835264797E-3</v>
      </c>
      <c r="M39" s="24">
        <f t="shared" si="56"/>
        <v>6.9067487835264806E-3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293.82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293.82</v>
      </c>
      <c r="AJ39" s="148">
        <f t="shared" si="62"/>
        <v>293.82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7">
        <f>IF([1]Summ!E1075="",0,[1]Summ!E1075)</f>
        <v>0</v>
      </c>
      <c r="C40" s="217">
        <f>IF([1]Summ!F1075="",0,[1]Summ!F1075)</f>
        <v>0</v>
      </c>
      <c r="D40" s="38">
        <f t="shared" si="58"/>
        <v>0</v>
      </c>
      <c r="E40" s="75">
        <f>E8</f>
        <v>0.3</v>
      </c>
      <c r="F40" s="26">
        <v>1.4</v>
      </c>
      <c r="G40" s="22">
        <f t="shared" si="59"/>
        <v>1.65</v>
      </c>
      <c r="H40" s="24">
        <f t="shared" si="51"/>
        <v>0.42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Beans: kg produced</v>
      </c>
      <c r="B41" s="217">
        <f>IF([1]Summ!E1076="",0,[1]Summ!E1076)</f>
        <v>200</v>
      </c>
      <c r="C41" s="217">
        <f>IF([1]Summ!F1076="",0,[1]Summ!F1076)</f>
        <v>270</v>
      </c>
      <c r="D41" s="38">
        <f t="shared" si="58"/>
        <v>470</v>
      </c>
      <c r="E41" s="75">
        <f>E10</f>
        <v>0.2</v>
      </c>
      <c r="F41" s="26">
        <v>1.4</v>
      </c>
      <c r="G41" s="22">
        <f t="shared" si="59"/>
        <v>1.65</v>
      </c>
      <c r="H41" s="24">
        <f t="shared" si="51"/>
        <v>0.27999999999999997</v>
      </c>
      <c r="I41" s="39">
        <f t="shared" si="52"/>
        <v>131.6</v>
      </c>
      <c r="J41" s="38">
        <f t="shared" si="53"/>
        <v>131.59999999999997</v>
      </c>
      <c r="K41" s="40">
        <f t="shared" si="54"/>
        <v>4.7013469358971344E-3</v>
      </c>
      <c r="L41" s="22">
        <f t="shared" si="55"/>
        <v>1.3163771420511975E-3</v>
      </c>
      <c r="M41" s="24">
        <f t="shared" si="56"/>
        <v>3.0934862838203139E-3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18">
        <v>1</v>
      </c>
      <c r="Y41" s="110"/>
      <c r="Z41" s="122">
        <f>Z11</f>
        <v>1</v>
      </c>
      <c r="AA41" s="147">
        <f t="shared" si="64"/>
        <v>131.59999999999997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131.59999999999997</v>
      </c>
      <c r="AJ41" s="148">
        <f t="shared" si="62"/>
        <v>131.59999999999997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Amadumbe: kg produced</v>
      </c>
      <c r="B42" s="217">
        <f>IF([1]Summ!E1077="",0,[1]Summ!E1077)</f>
        <v>658</v>
      </c>
      <c r="C42" s="217">
        <f>IF([1]Summ!F1077="",0,[1]Summ!F1077)</f>
        <v>-658</v>
      </c>
      <c r="D42" s="38">
        <f t="shared" si="58"/>
        <v>0</v>
      </c>
      <c r="E42" s="75">
        <f>E11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0</v>
      </c>
      <c r="J42" s="38">
        <f t="shared" si="53"/>
        <v>0</v>
      </c>
      <c r="K42" s="40">
        <f t="shared" si="54"/>
        <v>1.5467431419101573E-2</v>
      </c>
      <c r="L42" s="22">
        <f t="shared" si="55"/>
        <v>4.3308807973484404E-3</v>
      </c>
      <c r="M42" s="24">
        <f t="shared" si="56"/>
        <v>0</v>
      </c>
      <c r="N42" s="2"/>
      <c r="O42" s="2"/>
      <c r="P42" s="56"/>
      <c r="Q42" s="41"/>
      <c r="R42" s="41"/>
      <c r="S42" s="255"/>
      <c r="T42" s="255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Potatoes: kg produced</v>
      </c>
      <c r="B43" s="217">
        <f>IF([1]Summ!E1078="",0,[1]Summ!E1078)</f>
        <v>300</v>
      </c>
      <c r="C43" s="217">
        <f>IF([1]Summ!F1078="",0,[1]Summ!F1078)</f>
        <v>-300</v>
      </c>
      <c r="D43" s="38">
        <f t="shared" si="58"/>
        <v>0</v>
      </c>
      <c r="E43" s="75">
        <f>E12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0</v>
      </c>
      <c r="K43" s="40">
        <f t="shared" si="54"/>
        <v>7.0520204038457017E-3</v>
      </c>
      <c r="L43" s="22">
        <f t="shared" si="55"/>
        <v>1.9745657130767961E-3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Sweet Potatoes: kg produced</v>
      </c>
      <c r="B44" s="217">
        <f>IF([1]Summ!E1079="",0,[1]Summ!E1079)</f>
        <v>560</v>
      </c>
      <c r="C44" s="217">
        <f>IF([1]Summ!F1079="",0,[1]Summ!F1079)</f>
        <v>-560</v>
      </c>
      <c r="D44" s="38">
        <f t="shared" si="58"/>
        <v>0</v>
      </c>
      <c r="E44" s="75">
        <f>E13</f>
        <v>0.2</v>
      </c>
      <c r="F44" s="26">
        <v>1.4</v>
      </c>
      <c r="G44" s="22">
        <f t="shared" si="59"/>
        <v>1.65</v>
      </c>
      <c r="H44" s="24">
        <f t="shared" si="51"/>
        <v>0.27999999999999997</v>
      </c>
      <c r="I44" s="39">
        <f t="shared" si="52"/>
        <v>0</v>
      </c>
      <c r="J44" s="38">
        <f t="shared" si="53"/>
        <v>0</v>
      </c>
      <c r="K44" s="40">
        <f t="shared" si="54"/>
        <v>1.3163771420511977E-2</v>
      </c>
      <c r="L44" s="22">
        <f t="shared" si="55"/>
        <v>3.6858559977433532E-3</v>
      </c>
      <c r="M44" s="24">
        <f t="shared" si="56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Other crop: Cabbage</v>
      </c>
      <c r="B45" s="217">
        <f>IF([1]Summ!E1080="",0,[1]Summ!E1080)</f>
        <v>135</v>
      </c>
      <c r="C45" s="217">
        <f>IF([1]Summ!F1080="",0,[1]Summ!F1080)</f>
        <v>-135</v>
      </c>
      <c r="D45" s="38">
        <f t="shared" si="58"/>
        <v>0</v>
      </c>
      <c r="E45" s="75">
        <f>E14</f>
        <v>0.2</v>
      </c>
      <c r="F45" s="26">
        <v>1.4</v>
      </c>
      <c r="G45" s="22">
        <f t="shared" si="59"/>
        <v>1.65</v>
      </c>
      <c r="H45" s="24">
        <f t="shared" si="51"/>
        <v>0.27999999999999997</v>
      </c>
      <c r="I45" s="39">
        <f t="shared" si="52"/>
        <v>0</v>
      </c>
      <c r="J45" s="38">
        <f t="shared" si="53"/>
        <v>0</v>
      </c>
      <c r="K45" s="40">
        <f t="shared" si="54"/>
        <v>3.1734091817305658E-3</v>
      </c>
      <c r="L45" s="22">
        <f t="shared" si="55"/>
        <v>8.8855457088455833E-4</v>
      </c>
      <c r="M45" s="24">
        <f t="shared" si="56"/>
        <v>0</v>
      </c>
      <c r="N45" s="2"/>
      <c r="O45" s="2"/>
      <c r="P45" s="56"/>
      <c r="Q45" s="256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Other crop: Spinach: no produced</v>
      </c>
      <c r="B46" s="217">
        <f>IF([1]Summ!E1081="",0,[1]Summ!E1081)</f>
        <v>48</v>
      </c>
      <c r="C46" s="217">
        <f>IF([1]Summ!F1081="",0,[1]Summ!F1081)</f>
        <v>0</v>
      </c>
      <c r="D46" s="38">
        <f t="shared" si="58"/>
        <v>48</v>
      </c>
      <c r="E46" s="75">
        <f>E16</f>
        <v>0.2</v>
      </c>
      <c r="F46" s="26">
        <v>1.4</v>
      </c>
      <c r="G46" s="22">
        <f t="shared" si="59"/>
        <v>1.65</v>
      </c>
      <c r="H46" s="24">
        <f t="shared" si="51"/>
        <v>0.27999999999999997</v>
      </c>
      <c r="I46" s="39">
        <f t="shared" si="52"/>
        <v>13.439999999999998</v>
      </c>
      <c r="J46" s="38">
        <f t="shared" si="53"/>
        <v>13.439999999999998</v>
      </c>
      <c r="K46" s="40">
        <f t="shared" si="54"/>
        <v>1.1283232646153124E-3</v>
      </c>
      <c r="L46" s="22">
        <f t="shared" si="55"/>
        <v>3.1593051409228742E-4</v>
      </c>
      <c r="M46" s="24">
        <f t="shared" si="56"/>
        <v>3.1593051409228737E-4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3.3599999999999994</v>
      </c>
      <c r="AB46" s="116">
        <v>0.25</v>
      </c>
      <c r="AC46" s="147">
        <f t="shared" si="65"/>
        <v>3.3599999999999994</v>
      </c>
      <c r="AD46" s="116">
        <v>0.25</v>
      </c>
      <c r="AE46" s="147">
        <f t="shared" si="66"/>
        <v>3.3599999999999994</v>
      </c>
      <c r="AF46" s="122">
        <f t="shared" si="57"/>
        <v>0.25</v>
      </c>
      <c r="AG46" s="147">
        <f t="shared" si="60"/>
        <v>3.3599999999999994</v>
      </c>
      <c r="AH46" s="123">
        <f t="shared" si="61"/>
        <v>1</v>
      </c>
      <c r="AI46" s="112">
        <f t="shared" si="61"/>
        <v>13.439999999999998</v>
      </c>
      <c r="AJ46" s="148">
        <f t="shared" si="62"/>
        <v>6.7199999999999989</v>
      </c>
      <c r="AK46" s="147">
        <f t="shared" si="63"/>
        <v>6.7199999999999989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Other cashcrop: sugar cane (tons)</v>
      </c>
      <c r="B47" s="217">
        <f>IF([1]Summ!E1082="",0,[1]Summ!E1082)</f>
        <v>0</v>
      </c>
      <c r="C47" s="217">
        <f>IF([1]Summ!F1082="",0,[1]Summ!F1082)</f>
        <v>0</v>
      </c>
      <c r="D47" s="38">
        <f t="shared" si="58"/>
        <v>0</v>
      </c>
      <c r="E47" s="26">
        <v>0.2</v>
      </c>
      <c r="F47" s="26">
        <v>1.4</v>
      </c>
      <c r="G47" s="22">
        <f t="shared" si="59"/>
        <v>1.65</v>
      </c>
      <c r="H47" s="24">
        <f t="shared" si="51"/>
        <v>0.27999999999999997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4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Agricultural cash income -- see Data2</v>
      </c>
      <c r="B48" s="217">
        <f>IF([1]Summ!E1083="",0,[1]Summ!E1083)</f>
        <v>0</v>
      </c>
      <c r="C48" s="217">
        <f>IF([1]Summ!F1083="",0,[1]Summ!F1083)</f>
        <v>0</v>
      </c>
      <c r="D48" s="38">
        <f>SUM(B48,C48)</f>
        <v>0</v>
      </c>
      <c r="E48" s="26">
        <v>0.5</v>
      </c>
      <c r="F48" s="26">
        <v>1.1100000000000001</v>
      </c>
      <c r="G48" s="22">
        <f t="shared" si="59"/>
        <v>1.65</v>
      </c>
      <c r="H48" s="24">
        <f t="shared" si="51"/>
        <v>0.55500000000000005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6"/>
      <c r="R48" s="253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Domestic work cash income -- see Data2</v>
      </c>
      <c r="B49" s="217">
        <f>IF([1]Summ!E1084="",0,[1]Summ!E1084)</f>
        <v>0</v>
      </c>
      <c r="C49" s="217">
        <f>IF([1]Summ!F1084="",0,[1]Summ!F1084)</f>
        <v>0</v>
      </c>
      <c r="D49" s="38">
        <f t="shared" ref="D49:D64" si="67">SUM(B49,C49)</f>
        <v>0</v>
      </c>
      <c r="E49" s="26">
        <v>0.5</v>
      </c>
      <c r="F49" s="26">
        <v>1.1100000000000001</v>
      </c>
      <c r="G49" s="22">
        <f t="shared" si="59"/>
        <v>1.65</v>
      </c>
      <c r="H49" s="24">
        <f t="shared" si="51"/>
        <v>0.55500000000000005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56"/>
      <c r="R49" s="253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Formal Employment (conservancies, etc.)</v>
      </c>
      <c r="B50" s="217">
        <f>IF([1]Summ!E1085="",0,[1]Summ!E1085)</f>
        <v>0</v>
      </c>
      <c r="C50" s="217">
        <f>IF([1]Summ!F1085="",0,[1]Summ!F1085)</f>
        <v>0</v>
      </c>
      <c r="D50" s="38">
        <f t="shared" si="67"/>
        <v>0</v>
      </c>
      <c r="E50" s="26">
        <v>0.6</v>
      </c>
      <c r="F50" s="26">
        <v>1.18</v>
      </c>
      <c r="G50" s="22">
        <f t="shared" si="59"/>
        <v>1.65</v>
      </c>
      <c r="H50" s="24">
        <f t="shared" ref="H50:H64" si="68">(E50*F50)</f>
        <v>0.70799999999999996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256"/>
      <c r="R50" s="253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Small business -- see Data2</v>
      </c>
      <c r="B51" s="217">
        <f>IF([1]Summ!E1086="",0,[1]Summ!E1086)</f>
        <v>0</v>
      </c>
      <c r="C51" s="217">
        <f>IF([1]Summ!F1086="",0,[1]Summ!F1086)</f>
        <v>0</v>
      </c>
      <c r="D51" s="38">
        <f t="shared" si="67"/>
        <v>0</v>
      </c>
      <c r="E51" s="26">
        <v>0.8</v>
      </c>
      <c r="F51" s="26">
        <v>1.18</v>
      </c>
      <c r="G51" s="22">
        <f t="shared" si="59"/>
        <v>1.65</v>
      </c>
      <c r="H51" s="24">
        <f t="shared" si="68"/>
        <v>0.94399999999999995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56"/>
      <c r="R51" s="253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Social development -- see Data2</v>
      </c>
      <c r="B52" s="217">
        <f>IF([1]Summ!E1087="",0,[1]Summ!E1087)</f>
        <v>32640</v>
      </c>
      <c r="C52" s="217">
        <f>IF([1]Summ!F1087="",0,[1]Summ!F1087)</f>
        <v>0</v>
      </c>
      <c r="D52" s="38">
        <f t="shared" si="67"/>
        <v>32640</v>
      </c>
      <c r="E52" s="26">
        <v>0</v>
      </c>
      <c r="F52" s="26">
        <v>1.18</v>
      </c>
      <c r="G52" s="22">
        <f t="shared" si="59"/>
        <v>1.65</v>
      </c>
      <c r="H52" s="24">
        <f t="shared" si="68"/>
        <v>0</v>
      </c>
      <c r="I52" s="39">
        <f t="shared" si="69"/>
        <v>0</v>
      </c>
      <c r="J52" s="38">
        <f t="shared" si="70"/>
        <v>0</v>
      </c>
      <c r="K52" s="40">
        <f t="shared" si="71"/>
        <v>0.7672598199384123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3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Public works -- see Data2</v>
      </c>
      <c r="B53" s="217">
        <f>IF([1]Summ!E1088="",0,[1]Summ!E1088)</f>
        <v>0</v>
      </c>
      <c r="C53" s="217">
        <f>IF([1]Summ!F1088="",0,[1]Summ!F1088)</f>
        <v>0</v>
      </c>
      <c r="D53" s="38">
        <f t="shared" si="67"/>
        <v>0</v>
      </c>
      <c r="E53" s="26">
        <v>1</v>
      </c>
      <c r="F53" s="26">
        <v>1.18</v>
      </c>
      <c r="G53" s="22">
        <f t="shared" si="59"/>
        <v>1.65</v>
      </c>
      <c r="H53" s="24">
        <f t="shared" si="68"/>
        <v>1.18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Gifts/social support: type</v>
      </c>
      <c r="B54" s="217">
        <f>IF([1]Summ!E1089="",0,[1]Summ!E1089)</f>
        <v>0</v>
      </c>
      <c r="C54" s="217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Other income: e.g. Credit (cotton loans)</v>
      </c>
      <c r="B55" s="217">
        <f>IF([1]Summ!E1090="",0,[1]Summ!E1090)</f>
        <v>2301</v>
      </c>
      <c r="C55" s="217">
        <f>IF([1]Summ!F1090="",0,[1]Summ!F1090)</f>
        <v>0</v>
      </c>
      <c r="D55" s="38">
        <f t="shared" si="67"/>
        <v>2301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2301</v>
      </c>
      <c r="J55" s="38">
        <f t="shared" si="70"/>
        <v>2301</v>
      </c>
      <c r="K55" s="40">
        <f t="shared" si="71"/>
        <v>5.408899649749653E-2</v>
      </c>
      <c r="L55" s="22">
        <f t="shared" si="72"/>
        <v>5.408899649749653E-2</v>
      </c>
      <c r="M55" s="24">
        <f t="shared" si="73"/>
        <v>5.408899649749653E-2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575.25</v>
      </c>
      <c r="AB55" s="116">
        <v>0.25</v>
      </c>
      <c r="AC55" s="147">
        <f t="shared" si="65"/>
        <v>575.25</v>
      </c>
      <c r="AD55" s="116">
        <v>0.25</v>
      </c>
      <c r="AE55" s="147">
        <f t="shared" si="66"/>
        <v>575.25</v>
      </c>
      <c r="AF55" s="122">
        <f t="shared" si="57"/>
        <v>0.25</v>
      </c>
      <c r="AG55" s="147">
        <f t="shared" si="60"/>
        <v>575.25</v>
      </c>
      <c r="AH55" s="123">
        <f t="shared" si="61"/>
        <v>1</v>
      </c>
      <c r="AI55" s="112">
        <f t="shared" si="61"/>
        <v>2301</v>
      </c>
      <c r="AJ55" s="148">
        <f t="shared" si="62"/>
        <v>1150.5</v>
      </c>
      <c r="AK55" s="147">
        <f t="shared" si="63"/>
        <v>1150.5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Remittances: no. times per year</v>
      </c>
      <c r="B56" s="217">
        <f>IF([1]Summ!E1091="",0,[1]Summ!E1091)</f>
        <v>850</v>
      </c>
      <c r="C56" s="217">
        <f>IF([1]Summ!F1091="",0,[1]Summ!F1091)</f>
        <v>0</v>
      </c>
      <c r="D56" s="38">
        <f t="shared" si="67"/>
        <v>850</v>
      </c>
      <c r="E56" s="26">
        <v>1</v>
      </c>
      <c r="F56" s="26">
        <v>1.1100000000000001</v>
      </c>
      <c r="G56" s="22">
        <f t="shared" si="59"/>
        <v>1.65</v>
      </c>
      <c r="H56" s="24">
        <f t="shared" si="68"/>
        <v>1.1100000000000001</v>
      </c>
      <c r="I56" s="39">
        <f t="shared" si="69"/>
        <v>943.50000000000011</v>
      </c>
      <c r="J56" s="38">
        <f t="shared" si="70"/>
        <v>943.50000000000023</v>
      </c>
      <c r="K56" s="40">
        <f t="shared" si="71"/>
        <v>1.9980724477562821E-2</v>
      </c>
      <c r="L56" s="22">
        <f t="shared" si="72"/>
        <v>2.2178604170094735E-2</v>
      </c>
      <c r="M56" s="24">
        <f t="shared" si="73"/>
        <v>2.2178604170094738E-2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235.87500000000006</v>
      </c>
      <c r="AB56" s="116">
        <v>0.25</v>
      </c>
      <c r="AC56" s="147">
        <f t="shared" si="65"/>
        <v>235.87500000000006</v>
      </c>
      <c r="AD56" s="116">
        <v>0.25</v>
      </c>
      <c r="AE56" s="147">
        <f t="shared" si="66"/>
        <v>235.87500000000006</v>
      </c>
      <c r="AF56" s="122">
        <f t="shared" si="57"/>
        <v>0.25</v>
      </c>
      <c r="AG56" s="147">
        <f t="shared" si="60"/>
        <v>235.87500000000006</v>
      </c>
      <c r="AH56" s="123">
        <f t="shared" si="61"/>
        <v>1</v>
      </c>
      <c r="AI56" s="112">
        <f t="shared" si="61"/>
        <v>943.50000000000023</v>
      </c>
      <c r="AJ56" s="148">
        <f t="shared" si="62"/>
        <v>471.75000000000011</v>
      </c>
      <c r="AK56" s="147">
        <f t="shared" si="63"/>
        <v>471.75000000000011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7">
        <f>IF([1]Summ!E1092="",0,[1]Summ!E1092)</f>
        <v>0</v>
      </c>
      <c r="C57" s="217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7">
        <f>IF([1]Summ!E1093="",0,[1]Summ!E1093)</f>
        <v>0</v>
      </c>
      <c r="C58" s="217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7">
        <f>IF([1]Summ!E1094="",0,[1]Summ!E1094)</f>
        <v>0</v>
      </c>
      <c r="C59" s="217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7">
        <f>IF([1]Summ!E1095="",0,[1]Summ!E1095)</f>
        <v>0</v>
      </c>
      <c r="C60" s="217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7">
        <f>IF([1]Summ!E1096="",0,[1]Summ!E1096)</f>
        <v>0</v>
      </c>
      <c r="C61" s="217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7">
        <f>IF([1]Summ!E1097="",0,[1]Summ!E1097)</f>
        <v>0</v>
      </c>
      <c r="C62" s="217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7">
        <f>IF([1]Summ!E1098="",0,[1]Summ!E1098)</f>
        <v>0</v>
      </c>
      <c r="C63" s="217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7">
        <f>IF([1]Summ!E1099="",0,[1]Summ!E1099)</f>
        <v>0</v>
      </c>
      <c r="C64" s="217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42541</v>
      </c>
      <c r="C65" s="41">
        <f>SUM(C37:C64)</f>
        <v>-1383</v>
      </c>
      <c r="D65" s="42">
        <f>SUM(D37:D64)</f>
        <v>41158</v>
      </c>
      <c r="E65" s="32"/>
      <c r="F65" s="32"/>
      <c r="G65" s="32"/>
      <c r="H65" s="31"/>
      <c r="I65" s="39">
        <f>SUM(I37:I64)</f>
        <v>6397.3600000000006</v>
      </c>
      <c r="J65" s="39">
        <f>SUM(J37:J64)</f>
        <v>6397.3600000000006</v>
      </c>
      <c r="K65" s="40">
        <f>SUM(K37:K64)</f>
        <v>1</v>
      </c>
      <c r="L65" s="22">
        <f>SUM(L37:L64)</f>
        <v>0.15948379210643851</v>
      </c>
      <c r="M65" s="24">
        <f>SUM(M37:M64)</f>
        <v>0.15038104416915446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3953.9050000000007</v>
      </c>
      <c r="AB65" s="137"/>
      <c r="AC65" s="153">
        <f>SUM(AC37:AC64)</f>
        <v>814.48500000000013</v>
      </c>
      <c r="AD65" s="137"/>
      <c r="AE65" s="153">
        <f>SUM(AE37:AE64)</f>
        <v>814.48500000000013</v>
      </c>
      <c r="AF65" s="137"/>
      <c r="AG65" s="153">
        <f>SUM(AG37:AG64)</f>
        <v>814.48500000000013</v>
      </c>
      <c r="AH65" s="137"/>
      <c r="AI65" s="153">
        <f>SUM(AI37:AI64)</f>
        <v>6397.3600000000006</v>
      </c>
      <c r="AJ65" s="153">
        <f>SUM(AJ37:AJ64)</f>
        <v>4768.3900000000003</v>
      </c>
      <c r="AK65" s="153">
        <f>SUM(AK37:AK64)</f>
        <v>1628.9700000000003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15044.654117659915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6397.3600000000006</v>
      </c>
      <c r="J70" s="51">
        <f t="shared" ref="J70:J77" si="75">J124*I$83</f>
        <v>6397.3600000000006</v>
      </c>
      <c r="K70" s="40">
        <f>B70/B$76</f>
        <v>0.35365069268846322</v>
      </c>
      <c r="L70" s="22">
        <f t="shared" ref="L70:L75" si="76">(L124*G$37*F$9/F$7)/B$130</f>
        <v>0.15948379210643848</v>
      </c>
      <c r="M70" s="24">
        <f>J70/B$76</f>
        <v>0.15038104416915449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1599.3400000000001</v>
      </c>
      <c r="AB70" s="116">
        <v>0.25</v>
      </c>
      <c r="AC70" s="147">
        <f>$J70*AB70</f>
        <v>1599.3400000000001</v>
      </c>
      <c r="AD70" s="116">
        <v>0.25</v>
      </c>
      <c r="AE70" s="147">
        <f>$J70*AD70</f>
        <v>1599.3400000000001</v>
      </c>
      <c r="AF70" s="122">
        <f>1-SUM(Z70,AB70,AD70)</f>
        <v>0.25</v>
      </c>
      <c r="AG70" s="147">
        <f>$J70*AF70</f>
        <v>1599.3400000000001</v>
      </c>
      <c r="AH70" s="155">
        <f>SUM(Z70,AB70,AD70,AF70)</f>
        <v>1</v>
      </c>
      <c r="AI70" s="147">
        <f>SUM(AA70,AC70,AE70,AG70)</f>
        <v>6397.3600000000006</v>
      </c>
      <c r="AJ70" s="148">
        <f>(AA70+AC70)</f>
        <v>3198.6800000000003</v>
      </c>
      <c r="AK70" s="147">
        <f>(AE70+AG70)</f>
        <v>3198.6800000000003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13918.666666666668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0</v>
      </c>
      <c r="J71" s="51">
        <f t="shared" si="75"/>
        <v>0</v>
      </c>
      <c r="K71" s="40">
        <f t="shared" ref="K71:K72" si="78">B71/B$76</f>
        <v>0.32718240442553459</v>
      </c>
      <c r="L71" s="22">
        <f t="shared" si="76"/>
        <v>0</v>
      </c>
      <c r="M71" s="24">
        <f t="shared" ref="M71:M72" si="79">J71/B$76</f>
        <v>0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0.65217084694765048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3665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8.6152182600314986E-2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389.22299999999996</v>
      </c>
      <c r="AB73" s="116">
        <v>0.09</v>
      </c>
      <c r="AC73" s="147">
        <f>$H$73*$B$73*AB73</f>
        <v>389.22299999999996</v>
      </c>
      <c r="AD73" s="116">
        <v>0.23</v>
      </c>
      <c r="AE73" s="147">
        <f>$H$73*$B$73*AD73</f>
        <v>994.68100000000004</v>
      </c>
      <c r="AF73" s="122">
        <f>1-SUM(Z73,AB73,AD73)</f>
        <v>0.59</v>
      </c>
      <c r="AG73" s="147">
        <f>$H$73*$B$73*AF73</f>
        <v>2551.5729999999999</v>
      </c>
      <c r="AH73" s="155">
        <f>SUM(Z73,AB73,AD73,AF73)</f>
        <v>1</v>
      </c>
      <c r="AI73" s="147">
        <f>SUM(AA73,AC73,AE73,AG73)</f>
        <v>4324.7</v>
      </c>
      <c r="AJ73" s="148">
        <f>(AA73+AC73)</f>
        <v>778.44599999999991</v>
      </c>
      <c r="AK73" s="147">
        <f>(AE73+AG73)</f>
        <v>3546.2539999999999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13668.000000000004</v>
      </c>
      <c r="C74" s="46"/>
      <c r="D74" s="38"/>
      <c r="E74" s="32"/>
      <c r="F74" s="32"/>
      <c r="G74" s="32"/>
      <c r="H74" s="31"/>
      <c r="I74" s="39">
        <f>I128*I$83</f>
        <v>0</v>
      </c>
      <c r="J74" s="51">
        <f t="shared" si="75"/>
        <v>0</v>
      </c>
      <c r="K74" s="40">
        <f>B74/B$76</f>
        <v>0.32129004959921026</v>
      </c>
      <c r="L74" s="22">
        <f t="shared" si="76"/>
        <v>0</v>
      </c>
      <c r="M74" s="24">
        <f>J74/B$76</f>
        <v>0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2354.5650000000005</v>
      </c>
      <c r="AB74" s="156"/>
      <c r="AC74" s="147">
        <f>AC30*$I$83/4</f>
        <v>-784.85500000000002</v>
      </c>
      <c r="AD74" s="156"/>
      <c r="AE74" s="147">
        <f>AE30*$I$83/4</f>
        <v>-784.85500000000002</v>
      </c>
      <c r="AF74" s="156"/>
      <c r="AG74" s="147">
        <f>AG30*$I$83/4</f>
        <v>-784.85500000000002</v>
      </c>
      <c r="AH74" s="155"/>
      <c r="AI74" s="147">
        <f>SUM(AA74,AC74,AE74,AG74)</f>
        <v>0</v>
      </c>
      <c r="AJ74" s="148">
        <f>(AA74+AC74)</f>
        <v>1569.7100000000005</v>
      </c>
      <c r="AK74" s="147">
        <f>(AE74+AG74)</f>
        <v>-1569.71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42541</v>
      </c>
      <c r="C76" s="46"/>
      <c r="D76" s="38"/>
      <c r="E76" s="32"/>
      <c r="F76" s="32"/>
      <c r="G76" s="32"/>
      <c r="H76" s="31"/>
      <c r="I76" s="39">
        <f>I130*I$83</f>
        <v>6397.3600000000006</v>
      </c>
      <c r="J76" s="51">
        <f t="shared" si="75"/>
        <v>6397.3600000000006</v>
      </c>
      <c r="K76" s="40">
        <f>SUM(K70:K75)</f>
        <v>1.7404461762611736</v>
      </c>
      <c r="L76" s="22">
        <f>SUM(L70:L75)</f>
        <v>0.15948379210643848</v>
      </c>
      <c r="M76" s="24">
        <f>SUM(M70:M75)</f>
        <v>0.15038104416915449</v>
      </c>
      <c r="O76" s="2"/>
      <c r="P76" s="2"/>
      <c r="Q76" s="56"/>
      <c r="R76" s="56"/>
      <c r="S76" s="56"/>
      <c r="T76" s="56"/>
      <c r="U76" s="56"/>
      <c r="V76" s="56"/>
      <c r="W76" s="110"/>
      <c r="X76" s="190"/>
      <c r="Y76" s="190"/>
      <c r="Z76" s="137"/>
      <c r="AA76" s="154">
        <f>AA65</f>
        <v>3953.9050000000007</v>
      </c>
      <c r="AB76" s="137"/>
      <c r="AC76" s="153">
        <f>AC65</f>
        <v>814.48500000000013</v>
      </c>
      <c r="AD76" s="137"/>
      <c r="AE76" s="153">
        <f>AE65</f>
        <v>814.48500000000013</v>
      </c>
      <c r="AF76" s="137"/>
      <c r="AG76" s="153">
        <f>AG65</f>
        <v>814.48500000000013</v>
      </c>
      <c r="AH76" s="137"/>
      <c r="AI76" s="153">
        <f>SUM(AA76,AC76,AE76,AG76)</f>
        <v>6397.3600000000024</v>
      </c>
      <c r="AJ76" s="154">
        <f>SUM(AA76,AC76)</f>
        <v>4768.3900000000012</v>
      </c>
      <c r="AK76" s="154">
        <f>SUM(AE76,AG76)</f>
        <v>1628.9700000000003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31089.182431390545</v>
      </c>
      <c r="J77" s="100">
        <f t="shared" si="75"/>
        <v>31089.182431390545</v>
      </c>
      <c r="K77" s="40"/>
      <c r="L77" s="22">
        <f>-(L131*G$37*F$9/F$7)/B$130</f>
        <v>-0.73080516281682484</v>
      </c>
      <c r="M77" s="24">
        <f>-J77/B$76</f>
        <v>-0.73080516281682484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1543.0993667920138</v>
      </c>
      <c r="AB77" s="112"/>
      <c r="AC77" s="111">
        <f>AC31*$I$83/4</f>
        <v>5559.5294745404262</v>
      </c>
      <c r="AD77" s="112"/>
      <c r="AE77" s="111">
        <f>AE31*$I$83/4</f>
        <v>5486.6033780737744</v>
      </c>
      <c r="AF77" s="112"/>
      <c r="AG77" s="111">
        <f>AG31*$I$83/4</f>
        <v>5607.2432450621754</v>
      </c>
      <c r="AH77" s="110"/>
      <c r="AI77" s="154">
        <f>SUM(AA77,AC77,AE77,AG77)</f>
        <v>18196.475464468389</v>
      </c>
      <c r="AJ77" s="153">
        <f>SUM(AA77,AC77)</f>
        <v>7102.6288413324401</v>
      </c>
      <c r="AK77" s="160">
        <f>SUM(AE77,AG77)</f>
        <v>11093.846623135949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2354.5650000000005</v>
      </c>
      <c r="AB79" s="112"/>
      <c r="AC79" s="112">
        <f>AA79-AA74+AC65-AC70</f>
        <v>-784.85500000000002</v>
      </c>
      <c r="AD79" s="112"/>
      <c r="AE79" s="112">
        <f>AC79-AC74+AE65-AE70</f>
        <v>-784.85500000000002</v>
      </c>
      <c r="AF79" s="112"/>
      <c r="AG79" s="112">
        <f>AE79-AE74+AG65-AG70</f>
        <v>-784.85500000000002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0.68362752198526333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10.354545454545455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20669.664571094072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34104.946542305217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8526.2366355763043</v>
      </c>
      <c r="AB83" s="112"/>
      <c r="AC83" s="165">
        <f>$I$83*AB82/4</f>
        <v>8526.2366355763043</v>
      </c>
      <c r="AD83" s="112"/>
      <c r="AE83" s="165">
        <f>$I$83*AD82/4</f>
        <v>8526.2366355763043</v>
      </c>
      <c r="AF83" s="112"/>
      <c r="AG83" s="165">
        <f>$I$83*AF82/4</f>
        <v>8526.2366355763043</v>
      </c>
      <c r="AH83" s="165">
        <f>SUM(AA83,AC83,AE83,AG83)</f>
        <v>34104.946542305217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31064.273564575124</v>
      </c>
      <c r="C84" s="46"/>
      <c r="D84" s="235"/>
      <c r="E84" s="64"/>
      <c r="F84" s="64"/>
      <c r="G84" s="64"/>
      <c r="H84" s="236">
        <f>IF(B84=0,0,I84/B84)</f>
        <v>1.5289231777270946</v>
      </c>
      <c r="I84" s="234">
        <f>(B70*H70)+((1-(D29*H29))*I83)</f>
        <v>47494.887852133979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6"/>
      <c r="AB87" s="186"/>
      <c r="AC87" s="186"/>
      <c r="AD87" s="186"/>
      <c r="AE87" s="186"/>
      <c r="AF87" s="186"/>
      <c r="AG87" s="186"/>
      <c r="AH87" s="187"/>
      <c r="AI87" s="189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0.19352031506083966</v>
      </c>
      <c r="C91" s="60">
        <f t="shared" si="81"/>
        <v>0</v>
      </c>
      <c r="D91" s="24">
        <f>SUM(B91,C91)</f>
        <v>0.19352031506083966</v>
      </c>
      <c r="H91" s="24">
        <f>(E37*F37/G37*F$7/F$9)</f>
        <v>0.3575757575757576</v>
      </c>
      <c r="I91" s="22">
        <f t="shared" ref="I91" si="82">(D91*H91)</f>
        <v>6.9198173264179041E-2</v>
      </c>
      <c r="J91" s="24">
        <f>IF(I$32&lt;=1+I$131,I91,L91+J$33*(I91-L91))</f>
        <v>6.9198173264179041E-2</v>
      </c>
      <c r="K91" s="22">
        <f t="shared" ref="K91" si="83">IF(B91="",0,B91)</f>
        <v>0.19352031506083966</v>
      </c>
      <c r="L91" s="22">
        <f t="shared" ref="L91" si="84">(K91*H91)</f>
        <v>6.9198173264179041E-2</v>
      </c>
      <c r="M91" s="227">
        <f t="shared" si="80"/>
        <v>6.9198173264179041E-2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2.9028047259125948E-2</v>
      </c>
      <c r="C92" s="60">
        <f t="shared" si="81"/>
        <v>0</v>
      </c>
      <c r="D92" s="24">
        <f t="shared" ref="D92:D118" si="86">SUM(B92,C92)</f>
        <v>2.9028047259125948E-2</v>
      </c>
      <c r="H92" s="24">
        <f t="shared" ref="H92:H118" si="87">(E38*F38/G38*F$7/F$9)</f>
        <v>0.3575757575757576</v>
      </c>
      <c r="I92" s="22">
        <f t="shared" ref="I92:I118" si="88">(D92*H92)</f>
        <v>1.0379725989626856E-2</v>
      </c>
      <c r="J92" s="24">
        <f t="shared" ref="J92:J118" si="89">IF(I$32&lt;=1+I$131,I92,L92+J$33*(I92-L92))</f>
        <v>1.0379725989626856E-2</v>
      </c>
      <c r="K92" s="22">
        <f t="shared" ref="K92:K118" si="90">IF(B92="",0,B92)</f>
        <v>2.9028047259125948E-2</v>
      </c>
      <c r="L92" s="22">
        <f t="shared" ref="L92:L118" si="91">(K92*H92)</f>
        <v>1.0379725989626856E-2</v>
      </c>
      <c r="M92" s="227">
        <f t="shared" ref="M92:M118" si="92">(J92)</f>
        <v>1.0379725989626856E-2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Chicken/ duck sales: no. sold</v>
      </c>
      <c r="B93" s="60">
        <f t="shared" si="81"/>
        <v>1.2046639612537269E-2</v>
      </c>
      <c r="C93" s="60">
        <f t="shared" si="81"/>
        <v>0</v>
      </c>
      <c r="D93" s="24">
        <f t="shared" si="86"/>
        <v>1.2046639612537269E-2</v>
      </c>
      <c r="H93" s="24">
        <f t="shared" si="87"/>
        <v>0.7151515151515152</v>
      </c>
      <c r="I93" s="22">
        <f t="shared" si="88"/>
        <v>8.6151725713902901E-3</v>
      </c>
      <c r="J93" s="24">
        <f t="shared" si="89"/>
        <v>8.6151725713902901E-3</v>
      </c>
      <c r="K93" s="22">
        <f t="shared" si="90"/>
        <v>1.2046639612537269E-2</v>
      </c>
      <c r="L93" s="22">
        <f t="shared" si="91"/>
        <v>8.6151725713902901E-3</v>
      </c>
      <c r="M93" s="227">
        <f t="shared" si="92"/>
        <v>8.6151725713902901E-3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0.25454545454545457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7">
        <f t="shared" si="92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Beans: kg produced</v>
      </c>
      <c r="B95" s="60">
        <f t="shared" si="81"/>
        <v>9.6760157530419826E-3</v>
      </c>
      <c r="C95" s="60">
        <f t="shared" si="81"/>
        <v>1.3062621266606678E-2</v>
      </c>
      <c r="D95" s="24">
        <f t="shared" si="86"/>
        <v>2.273863701964866E-2</v>
      </c>
      <c r="H95" s="24">
        <f t="shared" si="87"/>
        <v>0.16969696969696968</v>
      </c>
      <c r="I95" s="22">
        <f t="shared" si="88"/>
        <v>3.8586777972737115E-3</v>
      </c>
      <c r="J95" s="24">
        <f t="shared" si="89"/>
        <v>3.8586777972737115E-3</v>
      </c>
      <c r="K95" s="22">
        <f t="shared" si="90"/>
        <v>9.6760157530419826E-3</v>
      </c>
      <c r="L95" s="22">
        <f t="shared" si="91"/>
        <v>1.6419905520313667E-3</v>
      </c>
      <c r="M95" s="227">
        <f t="shared" si="92"/>
        <v>3.8586777972737115E-3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Amadumbe: kg produced</v>
      </c>
      <c r="B96" s="60">
        <f t="shared" si="81"/>
        <v>3.1834091827508126E-2</v>
      </c>
      <c r="C96" s="60">
        <f t="shared" si="81"/>
        <v>-3.1834091827508126E-2</v>
      </c>
      <c r="D96" s="24">
        <f t="shared" si="86"/>
        <v>0</v>
      </c>
      <c r="H96" s="24">
        <f t="shared" si="87"/>
        <v>0.16969696969696968</v>
      </c>
      <c r="I96" s="22">
        <f t="shared" si="88"/>
        <v>0</v>
      </c>
      <c r="J96" s="24">
        <f t="shared" si="89"/>
        <v>0</v>
      </c>
      <c r="K96" s="22">
        <f t="shared" si="90"/>
        <v>3.1834091827508126E-2</v>
      </c>
      <c r="L96" s="22">
        <f t="shared" si="91"/>
        <v>5.4021489161831969E-3</v>
      </c>
      <c r="M96" s="227">
        <f t="shared" si="9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Potatoes: kg produced</v>
      </c>
      <c r="B97" s="60">
        <f t="shared" si="81"/>
        <v>1.4514023629562974E-2</v>
      </c>
      <c r="C97" s="60">
        <f t="shared" si="81"/>
        <v>-1.4514023629562974E-2</v>
      </c>
      <c r="D97" s="24">
        <f t="shared" si="86"/>
        <v>0</v>
      </c>
      <c r="H97" s="24">
        <f t="shared" si="87"/>
        <v>0.16969696969696968</v>
      </c>
      <c r="I97" s="22">
        <f t="shared" si="88"/>
        <v>0</v>
      </c>
      <c r="J97" s="24">
        <f t="shared" si="89"/>
        <v>0</v>
      </c>
      <c r="K97" s="22">
        <f t="shared" si="90"/>
        <v>1.4514023629562974E-2</v>
      </c>
      <c r="L97" s="22">
        <f t="shared" si="91"/>
        <v>2.4629858280470498E-3</v>
      </c>
      <c r="M97" s="227">
        <f t="shared" si="9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Sweet Potatoes: kg produced</v>
      </c>
      <c r="B98" s="60">
        <f t="shared" si="81"/>
        <v>2.709284410851755E-2</v>
      </c>
      <c r="C98" s="60">
        <f t="shared" si="81"/>
        <v>-2.709284410851755E-2</v>
      </c>
      <c r="D98" s="24">
        <f t="shared" si="86"/>
        <v>0</v>
      </c>
      <c r="H98" s="24">
        <f t="shared" si="87"/>
        <v>0.16969696969696968</v>
      </c>
      <c r="I98" s="22">
        <f t="shared" si="88"/>
        <v>0</v>
      </c>
      <c r="J98" s="24">
        <f t="shared" si="89"/>
        <v>0</v>
      </c>
      <c r="K98" s="22">
        <f t="shared" si="90"/>
        <v>2.709284410851755E-2</v>
      </c>
      <c r="L98" s="22">
        <f t="shared" si="91"/>
        <v>4.5975735456878263E-3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Other crop: Cabbage</v>
      </c>
      <c r="B99" s="60">
        <f t="shared" si="81"/>
        <v>6.5313106333033388E-3</v>
      </c>
      <c r="C99" s="60">
        <f t="shared" si="81"/>
        <v>-6.5313106333033388E-3</v>
      </c>
      <c r="D99" s="24">
        <f t="shared" si="86"/>
        <v>0</v>
      </c>
      <c r="H99" s="24">
        <f t="shared" si="87"/>
        <v>0.16969696969696968</v>
      </c>
      <c r="I99" s="22">
        <f t="shared" si="88"/>
        <v>0</v>
      </c>
      <c r="J99" s="24">
        <f t="shared" si="89"/>
        <v>0</v>
      </c>
      <c r="K99" s="22">
        <f t="shared" si="90"/>
        <v>6.5313106333033388E-3</v>
      </c>
      <c r="L99" s="22">
        <f t="shared" si="91"/>
        <v>1.1083436226211726E-3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Other crop: Spinach: no produced</v>
      </c>
      <c r="B100" s="60">
        <f t="shared" si="81"/>
        <v>2.322243780730076E-3</v>
      </c>
      <c r="C100" s="60">
        <f t="shared" si="81"/>
        <v>0</v>
      </c>
      <c r="D100" s="24">
        <f t="shared" si="86"/>
        <v>2.322243780730076E-3</v>
      </c>
      <c r="H100" s="24">
        <f t="shared" si="87"/>
        <v>0.16969696969696968</v>
      </c>
      <c r="I100" s="22">
        <f t="shared" si="88"/>
        <v>3.9407773248752799E-4</v>
      </c>
      <c r="J100" s="24">
        <f t="shared" si="89"/>
        <v>3.9407773248752799E-4</v>
      </c>
      <c r="K100" s="22">
        <f t="shared" si="90"/>
        <v>2.322243780730076E-3</v>
      </c>
      <c r="L100" s="22">
        <f t="shared" si="91"/>
        <v>3.9407773248752799E-4</v>
      </c>
      <c r="M100" s="227">
        <f t="shared" si="92"/>
        <v>3.9407773248752799E-4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Other cashcrop: sugar cane (tons)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0.16969696969696968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7">
        <f t="shared" si="9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Agricultural cash income -- see Data2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0.33636363636363642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Domestic work cash income -- see Data2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0.33636363636363642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Formal Employment (conservancies, etc.)</v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0.42909090909090908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Small business -- see Data2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0.57212121212121214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Social development -- see Data2</v>
      </c>
      <c r="B106" s="60">
        <f t="shared" si="81"/>
        <v>1.5791257708964517</v>
      </c>
      <c r="C106" s="60">
        <f t="shared" si="81"/>
        <v>0</v>
      </c>
      <c r="D106" s="24">
        <f t="shared" si="86"/>
        <v>1.5791257708964517</v>
      </c>
      <c r="H106" s="24">
        <f t="shared" si="87"/>
        <v>0</v>
      </c>
      <c r="I106" s="22">
        <f t="shared" si="88"/>
        <v>0</v>
      </c>
      <c r="J106" s="24">
        <f t="shared" si="89"/>
        <v>0</v>
      </c>
      <c r="K106" s="22">
        <f t="shared" si="90"/>
        <v>1.5791257708964517</v>
      </c>
      <c r="L106" s="22">
        <f t="shared" si="91"/>
        <v>0</v>
      </c>
      <c r="M106" s="227">
        <f t="shared" si="92"/>
        <v>0</v>
      </c>
      <c r="N106" s="229">
        <v>11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Public works -- see Data2</v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0.7151515151515152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>
        <v>14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Gifts/social support: type</v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>
        <v>9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Other income: e.g. Credit (cotton loans)</v>
      </c>
      <c r="B109" s="60">
        <f t="shared" si="81"/>
        <v>0.11132256123874801</v>
      </c>
      <c r="C109" s="60">
        <f t="shared" si="81"/>
        <v>0</v>
      </c>
      <c r="D109" s="24">
        <f t="shared" si="86"/>
        <v>0.11132256123874801</v>
      </c>
      <c r="H109" s="24">
        <f t="shared" si="87"/>
        <v>0.60606060606060608</v>
      </c>
      <c r="I109" s="22">
        <f t="shared" si="88"/>
        <v>6.7468218932574556E-2</v>
      </c>
      <c r="J109" s="24">
        <f t="shared" si="89"/>
        <v>6.7468218932574556E-2</v>
      </c>
      <c r="K109" s="22">
        <f t="shared" si="90"/>
        <v>0.11132256123874801</v>
      </c>
      <c r="L109" s="22">
        <f t="shared" si="91"/>
        <v>6.7468218932574556E-2</v>
      </c>
      <c r="M109" s="227">
        <f t="shared" si="92"/>
        <v>6.7468218932574556E-2</v>
      </c>
      <c r="N109" s="229">
        <v>15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Remittances: no. times per year</v>
      </c>
      <c r="B110" s="60">
        <f t="shared" si="81"/>
        <v>4.112306695042843E-2</v>
      </c>
      <c r="C110" s="60">
        <f t="shared" si="81"/>
        <v>0</v>
      </c>
      <c r="D110" s="24">
        <f t="shared" si="86"/>
        <v>4.112306695042843E-2</v>
      </c>
      <c r="H110" s="24">
        <f t="shared" si="87"/>
        <v>0.67272727272727284</v>
      </c>
      <c r="I110" s="22">
        <f t="shared" si="88"/>
        <v>2.7664608675742768E-2</v>
      </c>
      <c r="J110" s="24">
        <f t="shared" si="89"/>
        <v>2.7664608675742768E-2</v>
      </c>
      <c r="K110" s="22">
        <f t="shared" si="90"/>
        <v>4.112306695042843E-2</v>
      </c>
      <c r="L110" s="22">
        <f t="shared" si="91"/>
        <v>2.7664608675742768E-2</v>
      </c>
      <c r="M110" s="227">
        <f t="shared" si="92"/>
        <v>2.7664608675742768E-2</v>
      </c>
      <c r="N110" s="229">
        <v>16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7">
        <f t="shared" si="92"/>
        <v>0</v>
      </c>
      <c r="N111" s="229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2.0581369307507953</v>
      </c>
      <c r="C119" s="29">
        <f>SUM(C91:C118)</f>
        <v>-6.6909648932285307E-2</v>
      </c>
      <c r="D119" s="24">
        <f>SUM(D91:D118)</f>
        <v>1.9912272818185097</v>
      </c>
      <c r="E119" s="22"/>
      <c r="F119" s="2"/>
      <c r="G119" s="2"/>
      <c r="H119" s="31"/>
      <c r="I119" s="22">
        <f>SUM(I91:I118)</f>
        <v>0.18757865496327475</v>
      </c>
      <c r="J119" s="24">
        <f>SUM(J91:J118)</f>
        <v>0.18757865496327475</v>
      </c>
      <c r="K119" s="22">
        <f>SUM(K91:K118)</f>
        <v>2.0581369307507953</v>
      </c>
      <c r="L119" s="22">
        <f>SUM(L91:L118)</f>
        <v>0.19893301963057164</v>
      </c>
      <c r="M119" s="57">
        <f t="shared" si="80"/>
        <v>0.18757865496327475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0.72786155120772633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0.18757865496327475</v>
      </c>
      <c r="J124" s="237">
        <f>IF(SUMPRODUCT($B$124:$B124,$H$124:$H124)&lt;J$119,($B124*$H124),J$119)</f>
        <v>0.18757865496327475</v>
      </c>
      <c r="K124" s="29">
        <f>(B124)</f>
        <v>0.72786155120772633</v>
      </c>
      <c r="L124" s="29">
        <f>IF(SUMPRODUCT($B$124:$B124,$H$124:$H124)&lt;L$119,($B124*$H124),L$119)</f>
        <v>0.19893301963057164</v>
      </c>
      <c r="M124" s="240">
        <f t="shared" si="93"/>
        <v>0.18757865496327475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0.67338618964003516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9">
        <f>(B125)</f>
        <v>0.67338618964003516</v>
      </c>
      <c r="L125" s="29">
        <f>IF(SUMPRODUCT($B$124:$B125,$H$124:$H125)&lt;L$119,($B125*$H125),IF(SUMPRODUCT($B$124:$B124,$H$124:$H124)&lt;L$119,L$119-SUMPRODUCT($B$124:$B124,$H$124:$H124),0))</f>
        <v>0</v>
      </c>
      <c r="M125" s="240">
        <f t="shared" si="93"/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1.3422569052619839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1.3422569052619839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0.17731298867449433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0.17731298867449433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0.66125891656288927</v>
      </c>
      <c r="C128" s="56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9">
        <f>(B128)</f>
        <v>0.66125891656288927</v>
      </c>
      <c r="L128" s="29">
        <f>IF(L124=L119,0,(L119-L124)/(B119-B124)*K128)</f>
        <v>0</v>
      </c>
      <c r="M128" s="240">
        <f t="shared" si="93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2.0581369307507953</v>
      </c>
      <c r="C130" s="56"/>
      <c r="D130" s="31"/>
      <c r="E130" s="2"/>
      <c r="F130" s="2"/>
      <c r="G130" s="2"/>
      <c r="H130" s="24"/>
      <c r="I130" s="29">
        <f>(I119)</f>
        <v>0.18757865496327475</v>
      </c>
      <c r="J130" s="228">
        <f>(J119)</f>
        <v>0.18757865496327475</v>
      </c>
      <c r="K130" s="29">
        <f>(B130)</f>
        <v>2.0581369307507953</v>
      </c>
      <c r="L130" s="29">
        <f>(L119)</f>
        <v>0.19893301963057164</v>
      </c>
      <c r="M130" s="240">
        <f t="shared" si="93"/>
        <v>0.18757865496327475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0.91157399683433638</v>
      </c>
      <c r="J131" s="237">
        <f>IF(SUMPRODUCT($B124:$B125,$H124:$H125)&gt;(J119-J128),SUMPRODUCT($B124:$B125,$H124:$H125)+J128-J119,0)</f>
        <v>0.91157399683433638</v>
      </c>
      <c r="K131" s="29"/>
      <c r="L131" s="29">
        <f>IF(I131&lt;SUM(L126:L127),0,I131-(SUM(L126:L127)))</f>
        <v>0.91157399683433638</v>
      </c>
      <c r="M131" s="237">
        <f>IF(I131&lt;SUM(M126:M127),0,I131-(SUM(M126:M127)))</f>
        <v>0.91157399683433638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08" priority="452" operator="equal">
      <formula>16</formula>
    </cfRule>
    <cfRule type="cellIs" dxfId="407" priority="453" operator="equal">
      <formula>15</formula>
    </cfRule>
    <cfRule type="cellIs" dxfId="406" priority="454" operator="equal">
      <formula>14</formula>
    </cfRule>
    <cfRule type="cellIs" dxfId="405" priority="455" operator="equal">
      <formula>13</formula>
    </cfRule>
    <cfRule type="cellIs" dxfId="404" priority="456" operator="equal">
      <formula>12</formula>
    </cfRule>
    <cfRule type="cellIs" dxfId="403" priority="457" operator="equal">
      <formula>11</formula>
    </cfRule>
    <cfRule type="cellIs" dxfId="402" priority="458" operator="equal">
      <formula>10</formula>
    </cfRule>
    <cfRule type="cellIs" dxfId="401" priority="459" operator="equal">
      <formula>9</formula>
    </cfRule>
    <cfRule type="cellIs" dxfId="400" priority="460" operator="equal">
      <formula>8</formula>
    </cfRule>
    <cfRule type="cellIs" dxfId="399" priority="461" operator="equal">
      <formula>7</formula>
    </cfRule>
    <cfRule type="cellIs" dxfId="398" priority="462" operator="equal">
      <formula>6</formula>
    </cfRule>
    <cfRule type="cellIs" dxfId="397" priority="463" operator="equal">
      <formula>5</formula>
    </cfRule>
    <cfRule type="cellIs" dxfId="396" priority="464" operator="equal">
      <formula>4</formula>
    </cfRule>
    <cfRule type="cellIs" dxfId="395" priority="465" operator="equal">
      <formula>3</formula>
    </cfRule>
    <cfRule type="cellIs" dxfId="394" priority="466" operator="equal">
      <formula>2</formula>
    </cfRule>
    <cfRule type="cellIs" dxfId="393" priority="467" operator="equal">
      <formula>1</formula>
    </cfRule>
  </conditionalFormatting>
  <conditionalFormatting sqref="N113:N118">
    <cfRule type="cellIs" dxfId="392" priority="196" operator="equal">
      <formula>16</formula>
    </cfRule>
    <cfRule type="cellIs" dxfId="391" priority="197" operator="equal">
      <formula>15</formula>
    </cfRule>
    <cfRule type="cellIs" dxfId="390" priority="198" operator="equal">
      <formula>14</formula>
    </cfRule>
    <cfRule type="cellIs" dxfId="389" priority="199" operator="equal">
      <formula>13</formula>
    </cfRule>
    <cfRule type="cellIs" dxfId="388" priority="200" operator="equal">
      <formula>12</formula>
    </cfRule>
    <cfRule type="cellIs" dxfId="387" priority="201" operator="equal">
      <formula>11</formula>
    </cfRule>
    <cfRule type="cellIs" dxfId="386" priority="202" operator="equal">
      <formula>10</formula>
    </cfRule>
    <cfRule type="cellIs" dxfId="385" priority="203" operator="equal">
      <formula>9</formula>
    </cfRule>
    <cfRule type="cellIs" dxfId="384" priority="204" operator="equal">
      <formula>8</formula>
    </cfRule>
    <cfRule type="cellIs" dxfId="383" priority="205" operator="equal">
      <formula>7</formula>
    </cfRule>
    <cfRule type="cellIs" dxfId="382" priority="206" operator="equal">
      <formula>6</formula>
    </cfRule>
    <cfRule type="cellIs" dxfId="381" priority="207" operator="equal">
      <formula>5</formula>
    </cfRule>
    <cfRule type="cellIs" dxfId="380" priority="208" operator="equal">
      <formula>4</formula>
    </cfRule>
    <cfRule type="cellIs" dxfId="379" priority="209" operator="equal">
      <formula>3</formula>
    </cfRule>
    <cfRule type="cellIs" dxfId="378" priority="210" operator="equal">
      <formula>2</formula>
    </cfRule>
    <cfRule type="cellIs" dxfId="377" priority="211" operator="equal">
      <formula>1</formula>
    </cfRule>
  </conditionalFormatting>
  <conditionalFormatting sqref="N112">
    <cfRule type="cellIs" dxfId="376" priority="180" operator="equal">
      <formula>16</formula>
    </cfRule>
    <cfRule type="cellIs" dxfId="375" priority="181" operator="equal">
      <formula>15</formula>
    </cfRule>
    <cfRule type="cellIs" dxfId="374" priority="182" operator="equal">
      <formula>14</formula>
    </cfRule>
    <cfRule type="cellIs" dxfId="373" priority="183" operator="equal">
      <formula>13</formula>
    </cfRule>
    <cfRule type="cellIs" dxfId="372" priority="184" operator="equal">
      <formula>12</formula>
    </cfRule>
    <cfRule type="cellIs" dxfId="371" priority="185" operator="equal">
      <formula>11</formula>
    </cfRule>
    <cfRule type="cellIs" dxfId="370" priority="186" operator="equal">
      <formula>10</formula>
    </cfRule>
    <cfRule type="cellIs" dxfId="369" priority="187" operator="equal">
      <formula>9</formula>
    </cfRule>
    <cfRule type="cellIs" dxfId="368" priority="188" operator="equal">
      <formula>8</formula>
    </cfRule>
    <cfRule type="cellIs" dxfId="367" priority="189" operator="equal">
      <formula>7</formula>
    </cfRule>
    <cfRule type="cellIs" dxfId="366" priority="190" operator="equal">
      <formula>6</formula>
    </cfRule>
    <cfRule type="cellIs" dxfId="365" priority="191" operator="equal">
      <formula>5</formula>
    </cfRule>
    <cfRule type="cellIs" dxfId="364" priority="192" operator="equal">
      <formula>4</formula>
    </cfRule>
    <cfRule type="cellIs" dxfId="363" priority="193" operator="equal">
      <formula>3</formula>
    </cfRule>
    <cfRule type="cellIs" dxfId="362" priority="194" operator="equal">
      <formula>2</formula>
    </cfRule>
    <cfRule type="cellIs" dxfId="361" priority="195" operator="equal">
      <formula>1</formula>
    </cfRule>
  </conditionalFormatting>
  <conditionalFormatting sqref="N111">
    <cfRule type="cellIs" dxfId="360" priority="52" operator="equal">
      <formula>16</formula>
    </cfRule>
    <cfRule type="cellIs" dxfId="359" priority="53" operator="equal">
      <formula>15</formula>
    </cfRule>
    <cfRule type="cellIs" dxfId="358" priority="54" operator="equal">
      <formula>14</formula>
    </cfRule>
    <cfRule type="cellIs" dxfId="357" priority="55" operator="equal">
      <formula>13</formula>
    </cfRule>
    <cfRule type="cellIs" dxfId="356" priority="56" operator="equal">
      <formula>12</formula>
    </cfRule>
    <cfRule type="cellIs" dxfId="355" priority="57" operator="equal">
      <formula>11</formula>
    </cfRule>
    <cfRule type="cellIs" dxfId="354" priority="58" operator="equal">
      <formula>10</formula>
    </cfRule>
    <cfRule type="cellIs" dxfId="353" priority="59" operator="equal">
      <formula>9</formula>
    </cfRule>
    <cfRule type="cellIs" dxfId="352" priority="60" operator="equal">
      <formula>8</formula>
    </cfRule>
    <cfRule type="cellIs" dxfId="351" priority="61" operator="equal">
      <formula>7</formula>
    </cfRule>
    <cfRule type="cellIs" dxfId="350" priority="62" operator="equal">
      <formula>6</formula>
    </cfRule>
    <cfRule type="cellIs" dxfId="349" priority="63" operator="equal">
      <formula>5</formula>
    </cfRule>
    <cfRule type="cellIs" dxfId="348" priority="64" operator="equal">
      <formula>4</formula>
    </cfRule>
    <cfRule type="cellIs" dxfId="347" priority="65" operator="equal">
      <formula>3</formula>
    </cfRule>
    <cfRule type="cellIs" dxfId="346" priority="66" operator="equal">
      <formula>2</formula>
    </cfRule>
    <cfRule type="cellIs" dxfId="345" priority="67" operator="equal">
      <formula>1</formula>
    </cfRule>
  </conditionalFormatting>
  <conditionalFormatting sqref="N91:N104">
    <cfRule type="cellIs" dxfId="344" priority="36" operator="equal">
      <formula>16</formula>
    </cfRule>
    <cfRule type="cellIs" dxfId="343" priority="37" operator="equal">
      <formula>15</formula>
    </cfRule>
    <cfRule type="cellIs" dxfId="342" priority="38" operator="equal">
      <formula>14</formula>
    </cfRule>
    <cfRule type="cellIs" dxfId="341" priority="39" operator="equal">
      <formula>13</formula>
    </cfRule>
    <cfRule type="cellIs" dxfId="340" priority="40" operator="equal">
      <formula>12</formula>
    </cfRule>
    <cfRule type="cellIs" dxfId="339" priority="41" operator="equal">
      <formula>11</formula>
    </cfRule>
    <cfRule type="cellIs" dxfId="338" priority="42" operator="equal">
      <formula>10</formula>
    </cfRule>
    <cfRule type="cellIs" dxfId="337" priority="43" operator="equal">
      <formula>9</formula>
    </cfRule>
    <cfRule type="cellIs" dxfId="336" priority="44" operator="equal">
      <formula>8</formula>
    </cfRule>
    <cfRule type="cellIs" dxfId="335" priority="45" operator="equal">
      <formula>7</formula>
    </cfRule>
    <cfRule type="cellIs" dxfId="334" priority="46" operator="equal">
      <formula>6</formula>
    </cfRule>
    <cfRule type="cellIs" dxfId="333" priority="47" operator="equal">
      <formula>5</formula>
    </cfRule>
    <cfRule type="cellIs" dxfId="332" priority="48" operator="equal">
      <formula>4</formula>
    </cfRule>
    <cfRule type="cellIs" dxfId="331" priority="49" operator="equal">
      <formula>3</formula>
    </cfRule>
    <cfRule type="cellIs" dxfId="330" priority="50" operator="equal">
      <formula>2</formula>
    </cfRule>
    <cfRule type="cellIs" dxfId="329" priority="51" operator="equal">
      <formula>1</formula>
    </cfRule>
  </conditionalFormatting>
  <conditionalFormatting sqref="N105:N110">
    <cfRule type="cellIs" dxfId="328" priority="20" operator="equal">
      <formula>16</formula>
    </cfRule>
    <cfRule type="cellIs" dxfId="327" priority="21" operator="equal">
      <formula>15</formula>
    </cfRule>
    <cfRule type="cellIs" dxfId="326" priority="22" operator="equal">
      <formula>14</formula>
    </cfRule>
    <cfRule type="cellIs" dxfId="325" priority="23" operator="equal">
      <formula>13</formula>
    </cfRule>
    <cfRule type="cellIs" dxfId="324" priority="24" operator="equal">
      <formula>12</formula>
    </cfRule>
    <cfRule type="cellIs" dxfId="323" priority="25" operator="equal">
      <formula>11</formula>
    </cfRule>
    <cfRule type="cellIs" dxfId="322" priority="26" operator="equal">
      <formula>10</formula>
    </cfRule>
    <cfRule type="cellIs" dxfId="321" priority="27" operator="equal">
      <formula>9</formula>
    </cfRule>
    <cfRule type="cellIs" dxfId="320" priority="28" operator="equal">
      <formula>8</formula>
    </cfRule>
    <cfRule type="cellIs" dxfId="319" priority="29" operator="equal">
      <formula>7</formula>
    </cfRule>
    <cfRule type="cellIs" dxfId="318" priority="30" operator="equal">
      <formula>6</formula>
    </cfRule>
    <cfRule type="cellIs" dxfId="317" priority="31" operator="equal">
      <formula>5</formula>
    </cfRule>
    <cfRule type="cellIs" dxfId="316" priority="32" operator="equal">
      <formula>4</formula>
    </cfRule>
    <cfRule type="cellIs" dxfId="315" priority="33" operator="equal">
      <formula>3</formula>
    </cfRule>
    <cfRule type="cellIs" dxfId="314" priority="34" operator="equal">
      <formula>2</formula>
    </cfRule>
    <cfRule type="cellIs" dxfId="313" priority="35" operator="equal">
      <formula>1</formula>
    </cfRule>
  </conditionalFormatting>
  <conditionalFormatting sqref="N6:N26">
    <cfRule type="cellIs" dxfId="312" priority="4" operator="equal">
      <formula>16</formula>
    </cfRule>
    <cfRule type="cellIs" dxfId="311" priority="5" operator="equal">
      <formula>15</formula>
    </cfRule>
    <cfRule type="cellIs" dxfId="310" priority="6" operator="equal">
      <formula>14</formula>
    </cfRule>
    <cfRule type="cellIs" dxfId="309" priority="7" operator="equal">
      <formula>13</formula>
    </cfRule>
    <cfRule type="cellIs" dxfId="308" priority="8" operator="equal">
      <formula>12</formula>
    </cfRule>
    <cfRule type="cellIs" dxfId="307" priority="9" operator="equal">
      <formula>11</formula>
    </cfRule>
    <cfRule type="cellIs" dxfId="306" priority="10" operator="equal">
      <formula>10</formula>
    </cfRule>
    <cfRule type="cellIs" dxfId="305" priority="11" operator="equal">
      <formula>9</formula>
    </cfRule>
    <cfRule type="cellIs" dxfId="304" priority="12" operator="equal">
      <formula>8</formula>
    </cfRule>
    <cfRule type="cellIs" dxfId="303" priority="13" operator="equal">
      <formula>7</formula>
    </cfRule>
    <cfRule type="cellIs" dxfId="302" priority="14" operator="equal">
      <formula>6</formula>
    </cfRule>
    <cfRule type="cellIs" dxfId="301" priority="15" operator="equal">
      <formula>5</formula>
    </cfRule>
    <cfRule type="cellIs" dxfId="300" priority="16" operator="equal">
      <formula>4</formula>
    </cfRule>
    <cfRule type="cellIs" dxfId="299" priority="17" operator="equal">
      <formula>3</formula>
    </cfRule>
    <cfRule type="cellIs" dxfId="298" priority="18" operator="equal">
      <formula>2</formula>
    </cfRule>
    <cfRule type="cellIs" dxfId="297" priority="19" operator="equal">
      <formula>1</formula>
    </cfRule>
  </conditionalFormatting>
  <conditionalFormatting sqref="R31:T31">
    <cfRule type="cellIs" dxfId="296" priority="3" operator="greaterThan">
      <formula>0</formula>
    </cfRule>
  </conditionalFormatting>
  <conditionalFormatting sqref="R32:T32">
    <cfRule type="cellIs" dxfId="295" priority="2" operator="greaterThan">
      <formula>0</formula>
    </cfRule>
  </conditionalFormatting>
  <conditionalFormatting sqref="R30:T30">
    <cfRule type="cellIs" dxfId="294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T26" sqref="T26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ZASCO: 59305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Own meat</v>
      </c>
      <c r="B6" s="101">
        <f>IF([1]Summ!$H1044="",0,[1]Summ!$H1044)</f>
        <v>2.3160169453833836E-2</v>
      </c>
      <c r="C6" s="102">
        <f>IF([1]Summ!$I1044="",0,[1]Summ!$I1044)</f>
        <v>0</v>
      </c>
      <c r="D6" s="24">
        <f t="shared" ref="D6:D29" si="0">(B6+C6)</f>
        <v>2.3160169453833836E-2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4.6320338907667674E-3</v>
      </c>
      <c r="J6" s="24">
        <f t="shared" ref="J6:J13" si="3">IF(I$32&lt;=1+I$131,I6,B6*H6+J$33*(I6-B6*H6))</f>
        <v>4.6320338907667674E-3</v>
      </c>
      <c r="K6" s="22">
        <f t="shared" ref="K6:K31" si="4">B6</f>
        <v>2.3160169453833836E-2</v>
      </c>
      <c r="L6" s="22">
        <f t="shared" ref="L6:L29" si="5">IF(K6="","",K6*H6)</f>
        <v>4.6320338907667674E-3</v>
      </c>
      <c r="M6" s="224">
        <f t="shared" ref="M6:M31" si="6">J6</f>
        <v>4.6320338907667674E-3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1.852813556306707E-2</v>
      </c>
      <c r="Z6" s="156">
        <f>Poor!Z6</f>
        <v>0.17</v>
      </c>
      <c r="AA6" s="121">
        <f>$M6*Z6*4</f>
        <v>3.1497830457214021E-3</v>
      </c>
      <c r="AB6" s="156">
        <f>Poor!AB6</f>
        <v>0.17</v>
      </c>
      <c r="AC6" s="121">
        <f t="shared" ref="AC6:AC29" si="7">$M6*AB6*4</f>
        <v>3.1497830457214021E-3</v>
      </c>
      <c r="AD6" s="156">
        <f>Poor!AD6</f>
        <v>0.33</v>
      </c>
      <c r="AE6" s="121">
        <f t="shared" ref="AE6:AE29" si="8">$M6*AD6*4</f>
        <v>6.1142847358121337E-3</v>
      </c>
      <c r="AF6" s="122">
        <f>1-SUM(Z6,AB6,AD6)</f>
        <v>0.32999999999999996</v>
      </c>
      <c r="AG6" s="121">
        <f>$M6*AF6*4</f>
        <v>6.1142847358121319E-3</v>
      </c>
      <c r="AH6" s="123">
        <f>SUM(Z6,AB6,AD6,AF6)</f>
        <v>1</v>
      </c>
      <c r="AI6" s="184">
        <f>SUM(AA6,AC6,AE6,AG6)/4</f>
        <v>4.6320338907667674E-3</v>
      </c>
      <c r="AJ6" s="120">
        <f>(AA6+AC6)/2</f>
        <v>3.1497830457214021E-3</v>
      </c>
      <c r="AK6" s="119">
        <f>(AE6+AG6)/2</f>
        <v>6.1142847358121328E-3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Green cons - Season 1: no of months</v>
      </c>
      <c r="B7" s="101">
        <f>IF([1]Summ!$H1045="",0,[1]Summ!$H1045)</f>
        <v>5.8333333333333336E-3</v>
      </c>
      <c r="C7" s="102">
        <f>IF([1]Summ!$I1045="",0,[1]Summ!$I1045)</f>
        <v>0</v>
      </c>
      <c r="D7" s="24">
        <f t="shared" si="0"/>
        <v>5.8333333333333336E-3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1.1666666666666668E-3</v>
      </c>
      <c r="J7" s="24">
        <f t="shared" si="3"/>
        <v>1.1666666666666668E-3</v>
      </c>
      <c r="K7" s="22">
        <f t="shared" si="4"/>
        <v>5.8333333333333336E-3</v>
      </c>
      <c r="L7" s="22">
        <f t="shared" si="5"/>
        <v>1.1666666666666668E-3</v>
      </c>
      <c r="M7" s="224">
        <f t="shared" si="6"/>
        <v>1.1666666666666668E-3</v>
      </c>
      <c r="N7" s="229">
        <v>1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2491.1301183618971</v>
      </c>
      <c r="S7" s="222">
        <f>IF($B$81=0,0,(SUMIF($N$6:$N$28,$U7,L$6:L$28)+SUMIF($N$91:$N$118,$U7,L$91:L$118))*$I$83*Poor!$B$81/$B$81)</f>
        <v>593.00855231964056</v>
      </c>
      <c r="T7" s="222">
        <f>IF($B$81=0,0,(SUMIF($N$6:$N$28,$U7,M$6:M$28)+SUMIF($N$91:$N$118,$U7,M$91:M$118))*$I$83*Poor!$B$81/$B$81)</f>
        <v>651.41557858099202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4.6666666666666671E-3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4.6666666666666671E-3</v>
      </c>
      <c r="AH7" s="123">
        <f t="shared" ref="AH7:AH30" si="12">SUM(Z7,AB7,AD7,AF7)</f>
        <v>1</v>
      </c>
      <c r="AI7" s="184">
        <f t="shared" ref="AI7:AI30" si="13">SUM(AA7,AC7,AE7,AG7)/4</f>
        <v>1.1666666666666668E-3</v>
      </c>
      <c r="AJ7" s="120">
        <f t="shared" ref="AJ7:AJ31" si="14">(AA7+AC7)/2</f>
        <v>0</v>
      </c>
      <c r="AK7" s="119">
        <f t="shared" ref="AK7:AK31" si="15">(AE7+AG7)/2</f>
        <v>2.3333333333333335E-3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101">
        <f>IF([1]Summ!$H1046="",0,[1]Summ!$H1046)</f>
        <v>1.6222736167941648E-2</v>
      </c>
      <c r="C8" s="102">
        <f>IF([1]Summ!$I1046="",0,[1]Summ!$I1046)</f>
        <v>3.3797367016545093E-2</v>
      </c>
      <c r="D8" s="24">
        <f t="shared" si="0"/>
        <v>5.0020103184486742E-2</v>
      </c>
      <c r="E8" s="75">
        <f>Poor!E8</f>
        <v>0.3</v>
      </c>
      <c r="F8" s="22" t="s">
        <v>23</v>
      </c>
      <c r="H8" s="24">
        <f t="shared" si="1"/>
        <v>0.3</v>
      </c>
      <c r="I8" s="22">
        <f t="shared" si="2"/>
        <v>1.5006030955346021E-2</v>
      </c>
      <c r="J8" s="24">
        <f t="shared" si="3"/>
        <v>6.2815513170706109E-3</v>
      </c>
      <c r="K8" s="22">
        <f t="shared" si="4"/>
        <v>1.6222736167941648E-2</v>
      </c>
      <c r="L8" s="22">
        <f t="shared" si="5"/>
        <v>4.8668208503824945E-3</v>
      </c>
      <c r="M8" s="224">
        <f t="shared" si="6"/>
        <v>6.2815513170706109E-3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1555.1332893452732</v>
      </c>
      <c r="S8" s="222">
        <f>IF($B$81=0,0,(SUMIF($N$6:$N$28,$U8,L$6:L$28)+SUMIF($N$91:$N$118,$U8,L$91:L$118))*$I$83*Poor!$B$81/$B$81)</f>
        <v>340.7999999999999</v>
      </c>
      <c r="T8" s="222">
        <f>IF($B$81=0,0,(SUMIF($N$6:$N$28,$U8,M$6:M$28)+SUMIF($N$91:$N$118,$U8,M$91:M$118))*$I$83*Poor!$B$81/$B$81)</f>
        <v>313.786868255473</v>
      </c>
      <c r="U8" s="223">
        <v>2</v>
      </c>
      <c r="V8" s="56"/>
      <c r="W8" s="115"/>
      <c r="X8" s="118">
        <f>Poor!X8</f>
        <v>1</v>
      </c>
      <c r="Y8" s="184">
        <f t="shared" si="9"/>
        <v>2.5126205268282444E-2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2.5126205268282444E-2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6.2815513170706109E-3</v>
      </c>
      <c r="AJ8" s="120">
        <f t="shared" si="14"/>
        <v>1.2563102634141222E-2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Pepper/ Brinjal / Beetroot: kg produced</v>
      </c>
      <c r="B9" s="101">
        <f>IF([1]Summ!$H1047="",0,[1]Summ!$H1047)</f>
        <v>0</v>
      </c>
      <c r="C9" s="102">
        <f>IF([1]Summ!$I1047="",0,[1]Summ!$I1047)</f>
        <v>0</v>
      </c>
      <c r="D9" s="24">
        <f t="shared" si="0"/>
        <v>0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731.91530030159879</v>
      </c>
      <c r="S9" s="222">
        <f>IF($B$81=0,0,(SUMIF($N$6:$N$28,$U9,L$6:L$28)+SUMIF($N$91:$N$118,$U9,L$91:L$118))*$I$83*Poor!$B$81/$B$81)</f>
        <v>157.97526822674666</v>
      </c>
      <c r="T9" s="222">
        <f>IF($B$81=0,0,(SUMIF($N$6:$N$28,$U9,M$6:M$28)+SUMIF($N$91:$N$118,$U9,M$91:M$118))*$I$83*Poor!$B$81/$B$81)</f>
        <v>157.97526822674666</v>
      </c>
      <c r="U9" s="223">
        <v>3</v>
      </c>
      <c r="V9" s="56"/>
      <c r="W9" s="115"/>
      <c r="X9" s="118">
        <f>Poor!X9</f>
        <v>1</v>
      </c>
      <c r="Y9" s="184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4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101">
        <f>IF([1]Summ!$H1048="",0,[1]Summ!$H1048)</f>
        <v>2.2725363458459352E-2</v>
      </c>
      <c r="C10" s="102">
        <f>IF([1]Summ!$I1048="",0,[1]Summ!$I1048)</f>
        <v>-8.2063812488880998E-3</v>
      </c>
      <c r="D10" s="24">
        <f t="shared" si="0"/>
        <v>1.4518982209571252E-2</v>
      </c>
      <c r="E10" s="75">
        <f>Poor!E10</f>
        <v>0.2</v>
      </c>
      <c r="H10" s="24">
        <f t="shared" si="1"/>
        <v>0.2</v>
      </c>
      <c r="I10" s="22">
        <f t="shared" si="2"/>
        <v>2.9037964419142506E-3</v>
      </c>
      <c r="J10" s="24">
        <f t="shared" si="3"/>
        <v>4.316064367495558E-3</v>
      </c>
      <c r="K10" s="22">
        <f t="shared" si="4"/>
        <v>2.2725363458459352E-2</v>
      </c>
      <c r="L10" s="22">
        <f t="shared" si="5"/>
        <v>4.5450726916918703E-3</v>
      </c>
      <c r="M10" s="224">
        <f t="shared" si="6"/>
        <v>4.316064367495558E-3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1.7264257469982232E-2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1.7264257469982232E-2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4.316064367495558E-3</v>
      </c>
      <c r="AJ10" s="120">
        <f t="shared" si="14"/>
        <v>8.6321287349911159E-3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Amadumbe: kg produced</v>
      </c>
      <c r="B11" s="101">
        <f>IF([1]Summ!$H1049="",0,[1]Summ!$H1049)</f>
        <v>1.4422700587084147E-2</v>
      </c>
      <c r="C11" s="102">
        <f>IF([1]Summ!$I1049="",0,[1]Summ!$I1049)</f>
        <v>1.8356164383561642E-2</v>
      </c>
      <c r="D11" s="24">
        <f t="shared" si="0"/>
        <v>3.2778864970645791E-2</v>
      </c>
      <c r="E11" s="75">
        <f>Poor!E11</f>
        <v>0.2</v>
      </c>
      <c r="H11" s="24">
        <f t="shared" si="1"/>
        <v>0.2</v>
      </c>
      <c r="I11" s="22">
        <f t="shared" si="2"/>
        <v>6.5557729941291588E-3</v>
      </c>
      <c r="J11" s="24">
        <f t="shared" si="3"/>
        <v>3.3967895872694591E-3</v>
      </c>
      <c r="K11" s="22">
        <f t="shared" si="4"/>
        <v>1.4422700587084147E-2</v>
      </c>
      <c r="L11" s="22">
        <f t="shared" si="5"/>
        <v>2.8845401174168294E-3</v>
      </c>
      <c r="M11" s="224">
        <f t="shared" si="6"/>
        <v>3.3967895872694591E-3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15201.864738543682</v>
      </c>
      <c r="S11" s="222">
        <f>IF($B$81=0,0,(SUMIF($N$6:$N$28,$U11,L$6:L$28)+SUMIF($N$91:$N$118,$U11,L$91:L$118))*$I$83*Poor!$B$81/$B$81)</f>
        <v>5933.7142857142871</v>
      </c>
      <c r="T11" s="222">
        <f>IF($B$81=0,0,(SUMIF($N$6:$N$28,$U11,M$6:M$28)+SUMIF($N$91:$N$118,$U11,M$91:M$118))*$I$83*Poor!$B$81/$B$81)</f>
        <v>5613.8303289284459</v>
      </c>
      <c r="U11" s="223">
        <v>5</v>
      </c>
      <c r="V11" s="56"/>
      <c r="W11" s="115"/>
      <c r="X11" s="118">
        <f>Poor!X11</f>
        <v>1</v>
      </c>
      <c r="Y11" s="184">
        <f t="shared" si="9"/>
        <v>1.3587158349077836E-2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1.3587158349077836E-2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3.3967895872694591E-3</v>
      </c>
      <c r="AJ11" s="120">
        <f t="shared" si="14"/>
        <v>6.7935791745389182E-3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Potatoes: kg produced</v>
      </c>
      <c r="B12" s="101">
        <f>IF([1]Summ!$H1050="",0,[1]Summ!$H1050)</f>
        <v>6.864881693648817E-3</v>
      </c>
      <c r="C12" s="102">
        <f>IF([1]Summ!$I1050="",0,[1]Summ!$I1050)</f>
        <v>0</v>
      </c>
      <c r="D12" s="24">
        <f t="shared" si="0"/>
        <v>6.864881693648817E-3</v>
      </c>
      <c r="E12" s="75">
        <f>Poor!E12</f>
        <v>0.2</v>
      </c>
      <c r="H12" s="24">
        <f t="shared" si="1"/>
        <v>0.2</v>
      </c>
      <c r="I12" s="22">
        <f t="shared" si="2"/>
        <v>1.3729763387297636E-3</v>
      </c>
      <c r="J12" s="24">
        <f t="shared" si="3"/>
        <v>1.3729763387297636E-3</v>
      </c>
      <c r="K12" s="22">
        <f t="shared" si="4"/>
        <v>6.864881693648817E-3</v>
      </c>
      <c r="L12" s="22">
        <f t="shared" si="5"/>
        <v>1.3729763387297636E-3</v>
      </c>
      <c r="M12" s="224">
        <f t="shared" si="6"/>
        <v>1.3729763387297636E-3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4">
        <f t="shared" si="9"/>
        <v>5.4919053549190543E-3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3.6795765877957664E-3</v>
      </c>
      <c r="AF12" s="122">
        <f>1-SUM(Z12,AB12,AD12)</f>
        <v>0.32999999999999996</v>
      </c>
      <c r="AG12" s="121">
        <f>$M12*AF12*4</f>
        <v>1.8123287671232876E-3</v>
      </c>
      <c r="AH12" s="123">
        <f t="shared" si="12"/>
        <v>1</v>
      </c>
      <c r="AI12" s="184">
        <f t="shared" si="13"/>
        <v>1.3729763387297636E-3</v>
      </c>
      <c r="AJ12" s="120">
        <f t="shared" si="14"/>
        <v>0</v>
      </c>
      <c r="AK12" s="119">
        <f t="shared" si="15"/>
        <v>2.7459526774595271E-3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Sweet Potatoes: kg produced</v>
      </c>
      <c r="B13" s="101">
        <f>IF([1]Summ!$H1051="",0,[1]Summ!$H1051)</f>
        <v>7.4533001245330006E-3</v>
      </c>
      <c r="C13" s="102">
        <f>IF([1]Summ!$I1051="",0,[1]Summ!$I1051)</f>
        <v>0</v>
      </c>
      <c r="D13" s="24">
        <f t="shared" si="0"/>
        <v>7.4533001245330006E-3</v>
      </c>
      <c r="E13" s="75">
        <f>Poor!E13</f>
        <v>0.2</v>
      </c>
      <c r="H13" s="24">
        <f t="shared" si="1"/>
        <v>0.2</v>
      </c>
      <c r="I13" s="22">
        <f t="shared" si="2"/>
        <v>1.4906600249066002E-3</v>
      </c>
      <c r="J13" s="24">
        <f t="shared" si="3"/>
        <v>1.4906600249066002E-3</v>
      </c>
      <c r="K13" s="22">
        <f t="shared" si="4"/>
        <v>7.4533001245330006E-3</v>
      </c>
      <c r="L13" s="22">
        <f t="shared" si="5"/>
        <v>1.4906600249066002E-3</v>
      </c>
      <c r="M13" s="225">
        <f t="shared" si="6"/>
        <v>1.4906600249066002E-3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188712.80365088707</v>
      </c>
      <c r="S13" s="222">
        <f>IF($B$81=0,0,(SUMIF($N$6:$N$28,$U13,L$6:L$28)+SUMIF($N$91:$N$118,$U13,L$91:L$118))*$I$83*Poor!$B$81/$B$81)</f>
        <v>87387.428571428565</v>
      </c>
      <c r="T13" s="222">
        <f>IF($B$81=0,0,(SUMIF($N$6:$N$28,$U13,M$6:M$28)+SUMIF($N$91:$N$118,$U13,M$91:M$118))*$I$83*Poor!$B$81/$B$81)</f>
        <v>87387.428571428565</v>
      </c>
      <c r="U13" s="223">
        <v>7</v>
      </c>
      <c r="V13" s="56"/>
      <c r="W13" s="110"/>
      <c r="X13" s="118"/>
      <c r="Y13" s="184">
        <f t="shared" si="9"/>
        <v>5.9626400996264008E-3</v>
      </c>
      <c r="Z13" s="156">
        <f>Poor!Z13</f>
        <v>1</v>
      </c>
      <c r="AA13" s="121">
        <f>$M13*Z13*4</f>
        <v>5.9626400996264008E-3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1.4906600249066002E-3</v>
      </c>
      <c r="AJ13" s="120">
        <f t="shared" si="14"/>
        <v>2.9813200498132004E-3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crop: Cabbage</v>
      </c>
      <c r="B14" s="101">
        <f>IF([1]Summ!$H1052="",0,[1]Summ!$H1052)</f>
        <v>3.8704856787048565E-3</v>
      </c>
      <c r="C14" s="102">
        <f>IF([1]Summ!$I1052="",0,[1]Summ!$I1052)</f>
        <v>5.2303860523038618E-4</v>
      </c>
      <c r="D14" s="24">
        <f t="shared" si="0"/>
        <v>4.3935242839352427E-3</v>
      </c>
      <c r="E14" s="75">
        <f>Poor!E14</f>
        <v>0.2</v>
      </c>
      <c r="F14" s="22"/>
      <c r="H14" s="24">
        <f t="shared" si="1"/>
        <v>0.2</v>
      </c>
      <c r="I14" s="22">
        <f t="shared" si="2"/>
        <v>8.7870485678704854E-4</v>
      </c>
      <c r="J14" s="24">
        <f>IF(I$32&lt;=1+I131,I14,B14*H14+J$33*(I14-B14*H14))</f>
        <v>7.8869311792130405E-4</v>
      </c>
      <c r="K14" s="22">
        <f t="shared" si="4"/>
        <v>3.8704856787048565E-3</v>
      </c>
      <c r="L14" s="22">
        <f t="shared" si="5"/>
        <v>7.7409713574097137E-4</v>
      </c>
      <c r="M14" s="225">
        <f t="shared" si="6"/>
        <v>7.8869311792130405E-4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4">
        <f>M14*4</f>
        <v>3.1547724716852162E-3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3.1547724716852162E-3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7.8869311792130405E-4</v>
      </c>
      <c r="AJ14" s="120">
        <f t="shared" si="14"/>
        <v>1.5773862358426081E-3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Other crop: pumpkin</v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0.2</v>
      </c>
      <c r="F15" s="22"/>
      <c r="H15" s="24">
        <f t="shared" si="1"/>
        <v>0.2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Spinach: no produced</v>
      </c>
      <c r="B16" s="101">
        <f>IF([1]Summ!$H1054="",0,[1]Summ!$H1054)</f>
        <v>1.4346201743462017E-3</v>
      </c>
      <c r="C16" s="102">
        <f>IF([1]Summ!$I1054="",0,[1]Summ!$I1054)</f>
        <v>0</v>
      </c>
      <c r="D16" s="24">
        <f t="shared" si="0"/>
        <v>1.4346201743462017E-3</v>
      </c>
      <c r="E16" s="75">
        <f>Poor!E16</f>
        <v>0.2</v>
      </c>
      <c r="F16" s="22"/>
      <c r="H16" s="24">
        <f t="shared" si="1"/>
        <v>0.2</v>
      </c>
      <c r="I16" s="22">
        <f t="shared" si="2"/>
        <v>2.8692403486924034E-4</v>
      </c>
      <c r="J16" s="24">
        <f>IF(I$32&lt;=1+I131,I16,B16*H16+J$33*(I16-B16*H16))</f>
        <v>2.8692403486924034E-4</v>
      </c>
      <c r="K16" s="22">
        <f t="shared" si="4"/>
        <v>1.4346201743462017E-3</v>
      </c>
      <c r="L16" s="22">
        <f t="shared" si="5"/>
        <v>2.8692403486924034E-4</v>
      </c>
      <c r="M16" s="224">
        <f t="shared" si="6"/>
        <v>2.8692403486924034E-4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4">
        <f t="shared" si="9"/>
        <v>1.1476961394769614E-3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1.1476961394769614E-3</v>
      </c>
      <c r="AH16" s="123">
        <f t="shared" si="12"/>
        <v>1</v>
      </c>
      <c r="AI16" s="184">
        <f t="shared" si="13"/>
        <v>2.8692403486924034E-4</v>
      </c>
      <c r="AJ16" s="120">
        <f t="shared" si="14"/>
        <v>0</v>
      </c>
      <c r="AK16" s="119">
        <f t="shared" si="15"/>
        <v>5.7384806973848068E-4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FISHING -- see worksheet Data 3</v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6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14677.662506180106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4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WILD FOODS -- see worksheet Data 3</v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>
        <v>6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4832.0335671375506</v>
      </c>
      <c r="S18" s="222">
        <f>IF($B$81=0,0,(SUMIF($N$6:$N$28,$U18,L$6:L$28)+SUMIF($N$91:$N$118,$U18,L$91:L$118))*$I$83*Poor!$B$81/$B$81)</f>
        <v>5214.6867167187884</v>
      </c>
      <c r="T18" s="222">
        <f>IF($B$81=0,0,(SUMIF($N$6:$N$28,$U18,M$6:M$28)+SUMIF($N$91:$N$118,$U18,M$91:M$118))*$I$83*Poor!$B$81/$B$81)</f>
        <v>5214.6867167187884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0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4368.3519363631267</v>
      </c>
      <c r="S21" s="222">
        <f>IF($B$81=0,0,(SUMIF($N$6:$N$28,$U21,L$6:L$28)+SUMIF($N$91:$N$118,$U21,L$91:L$118))*$I$83*Poor!$B$81/$B$81)</f>
        <v>2857.1428571428573</v>
      </c>
      <c r="T21" s="222">
        <f>IF($B$81=0,0,(SUMIF($N$6:$N$28,$U21,M$6:M$28)+SUMIF($N$91:$N$118,$U21,M$91:M$118))*$I$83*Poor!$B$81/$B$81)</f>
        <v>2857.1428571428573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2358.9100456360889</v>
      </c>
      <c r="S22" s="222">
        <f>IF($B$81=0,0,(SUMIF($N$6:$N$28,$U22,L$6:L$28)+SUMIF($N$91:$N$118,$U22,L$91:L$118))*$I$83*Poor!$B$81/$B$81)</f>
        <v>1712.5714285714287</v>
      </c>
      <c r="T22" s="222">
        <f>IF($B$81=0,0,(SUMIF($N$6:$N$28,$U22,M$6:M$28)+SUMIF($N$91:$N$118,$U22,M$91:M$118))*$I$83*Poor!$B$81/$B$81)</f>
        <v>1712.5714285714287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234929.80515275639</v>
      </c>
      <c r="S23" s="179">
        <f>SUM(S7:S22)</f>
        <v>104197.32768012233</v>
      </c>
      <c r="T23" s="179">
        <f>SUM(T7:T22)</f>
        <v>103908.83761785331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47494.887852133972</v>
      </c>
      <c r="S24" s="41">
        <f>IF($B$81=0,0,(SUM(($B$70*$H$70))+((1-$D$29)*$I$83))*Poor!$B$81/$B$81)</f>
        <v>47494.887852133972</v>
      </c>
      <c r="T24" s="41">
        <f>IF($B$81=0,0,(SUM(($B$70*$H$70))+((1-$D$29)*$I$83))*Poor!$B$81/$B$81)</f>
        <v>47494.887852133972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63918.914518800637</v>
      </c>
      <c r="S25" s="41">
        <f>IF($B$81=0,0,(SUM(($B$70*$H$70),($B$71*$H$71))+((1-$D$29)*$I$83))*Poor!$B$81/$B$81)</f>
        <v>63918.914518800637</v>
      </c>
      <c r="T25" s="41">
        <f>IF($B$81=0,0,(SUM(($B$70*$H$70),($B$71*$H$71))+((1-$D$29)*$I$83))*Poor!$B$81/$B$81)</f>
        <v>63918.914518800637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0.15290118429742355</v>
      </c>
      <c r="C26" s="102">
        <f>IF([1]Summ!$I1064="",0,[1]Summ!$I1064)</f>
        <v>0</v>
      </c>
      <c r="D26" s="24">
        <f t="shared" si="0"/>
        <v>0.15290118429742355</v>
      </c>
      <c r="E26" s="75">
        <f>Poor!E26</f>
        <v>1</v>
      </c>
      <c r="F26" s="22"/>
      <c r="H26" s="24">
        <f t="shared" si="1"/>
        <v>1</v>
      </c>
      <c r="I26" s="22">
        <f t="shared" si="2"/>
        <v>0.15290118429742355</v>
      </c>
      <c r="J26" s="24">
        <f>IF(I$32&lt;=1+I131,I26,B26*H26+J$33*(I26-B26*H26))</f>
        <v>0.15290118429742355</v>
      </c>
      <c r="K26" s="22">
        <f t="shared" si="4"/>
        <v>0.15290118429742355</v>
      </c>
      <c r="L26" s="22">
        <f t="shared" si="5"/>
        <v>0.15290118429742355</v>
      </c>
      <c r="M26" s="224">
        <f t="shared" si="6"/>
        <v>0.15290118429742355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96656.834518800635</v>
      </c>
      <c r="S26" s="41">
        <f>IF($B$81=0,0,(SUM(($B$70*$H$70),($B$71*$H$71),($B$72*$H$72))+((1-$D$29)*$I$83))*Poor!$B$81/$B$81)</f>
        <v>96656.834518800635</v>
      </c>
      <c r="T26" s="41">
        <f>IF($B$81=0,0,(SUM(($B$70*$H$70),($B$71*$H$71),($B$72*$H$72))+((1-$D$29)*$I$83))*Poor!$B$81/$B$81)</f>
        <v>96656.834518800635</v>
      </c>
      <c r="U26" s="56"/>
      <c r="V26" s="56"/>
      <c r="W26" s="110"/>
      <c r="X26" s="118"/>
      <c r="Y26" s="184">
        <f t="shared" si="9"/>
        <v>0.61160473718969421</v>
      </c>
      <c r="Z26" s="156">
        <f>Poor!Z26</f>
        <v>0.25</v>
      </c>
      <c r="AA26" s="121">
        <f t="shared" si="16"/>
        <v>0.15290118429742355</v>
      </c>
      <c r="AB26" s="156">
        <f>Poor!AB26</f>
        <v>0.25</v>
      </c>
      <c r="AC26" s="121">
        <f t="shared" si="7"/>
        <v>0.15290118429742355</v>
      </c>
      <c r="AD26" s="156">
        <f>Poor!AD26</f>
        <v>0.25</v>
      </c>
      <c r="AE26" s="121">
        <f t="shared" si="8"/>
        <v>0.15290118429742355</v>
      </c>
      <c r="AF26" s="122">
        <f t="shared" si="10"/>
        <v>0.25</v>
      </c>
      <c r="AG26" s="121">
        <f t="shared" si="11"/>
        <v>0.15290118429742355</v>
      </c>
      <c r="AH26" s="123">
        <f t="shared" si="12"/>
        <v>1</v>
      </c>
      <c r="AI26" s="184">
        <f t="shared" si="13"/>
        <v>0.15290118429742355</v>
      </c>
      <c r="AJ26" s="120">
        <f t="shared" si="14"/>
        <v>0.15290118429742355</v>
      </c>
      <c r="AK26" s="119">
        <f t="shared" si="15"/>
        <v>0.15290118429742355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4.3238523394413808E-2</v>
      </c>
      <c r="C27" s="102">
        <f>IF([1]Summ!$I1065="",0,[1]Summ!$I1065)</f>
        <v>-4.3238523394413808E-2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3.7205424588152888E-2</v>
      </c>
      <c r="K27" s="22">
        <f t="shared" si="4"/>
        <v>4.3238523394413808E-2</v>
      </c>
      <c r="L27" s="22">
        <f t="shared" si="5"/>
        <v>4.3238523394413808E-2</v>
      </c>
      <c r="M27" s="226">
        <f t="shared" si="6"/>
        <v>3.7205424588152888E-2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0.14882169835261155</v>
      </c>
      <c r="Z27" s="156">
        <f>Poor!Z27</f>
        <v>0.25</v>
      </c>
      <c r="AA27" s="121">
        <f t="shared" si="16"/>
        <v>3.7205424588152888E-2</v>
      </c>
      <c r="AB27" s="156">
        <f>Poor!AB27</f>
        <v>0.25</v>
      </c>
      <c r="AC27" s="121">
        <f t="shared" si="7"/>
        <v>3.7205424588152888E-2</v>
      </c>
      <c r="AD27" s="156">
        <f>Poor!AD27</f>
        <v>0.25</v>
      </c>
      <c r="AE27" s="121">
        <f t="shared" si="8"/>
        <v>3.7205424588152888E-2</v>
      </c>
      <c r="AF27" s="122">
        <f t="shared" si="10"/>
        <v>0.25</v>
      </c>
      <c r="AG27" s="121">
        <f t="shared" si="11"/>
        <v>3.7205424588152888E-2</v>
      </c>
      <c r="AH27" s="123">
        <f t="shared" si="12"/>
        <v>1</v>
      </c>
      <c r="AI27" s="184">
        <f t="shared" si="13"/>
        <v>3.7205424588152888E-2</v>
      </c>
      <c r="AJ27" s="120">
        <f t="shared" si="14"/>
        <v>3.7205424588152888E-2</v>
      </c>
      <c r="AK27" s="119">
        <f t="shared" si="15"/>
        <v>3.7205424588152888E-2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0.28219106484967088</v>
      </c>
      <c r="C29" s="102">
        <f>IF([1]Summ!$I1067="",0,[1]Summ!$I1067)</f>
        <v>-5.7221515480117169E-2</v>
      </c>
      <c r="D29" s="24">
        <f t="shared" si="0"/>
        <v>0.22496954936955371</v>
      </c>
      <c r="E29" s="75">
        <f>Poor!E29</f>
        <v>1</v>
      </c>
      <c r="F29" s="22"/>
      <c r="H29" s="24">
        <f t="shared" si="1"/>
        <v>1</v>
      </c>
      <c r="I29" s="22">
        <f t="shared" si="2"/>
        <v>0.22496954936955371</v>
      </c>
      <c r="J29" s="24">
        <f>IF(I$32&lt;=1+I131,I29,B29*H29+J$33*(I29-B29*H29))</f>
        <v>0.27420691022009497</v>
      </c>
      <c r="K29" s="22">
        <f t="shared" si="4"/>
        <v>0.28219106484967088</v>
      </c>
      <c r="L29" s="22">
        <f t="shared" si="5"/>
        <v>0.28219106484967088</v>
      </c>
      <c r="M29" s="224">
        <f t="shared" si="6"/>
        <v>0.27420691022009497</v>
      </c>
      <c r="N29" s="229"/>
      <c r="P29" s="22"/>
      <c r="V29" s="56"/>
      <c r="W29" s="110"/>
      <c r="X29" s="118"/>
      <c r="Y29" s="184">
        <f t="shared" si="9"/>
        <v>1.0968276408803799</v>
      </c>
      <c r="Z29" s="156">
        <f>Poor!Z29</f>
        <v>0.25</v>
      </c>
      <c r="AA29" s="121">
        <f t="shared" si="16"/>
        <v>0.27420691022009497</v>
      </c>
      <c r="AB29" s="156">
        <f>Poor!AB29</f>
        <v>0.25</v>
      </c>
      <c r="AC29" s="121">
        <f t="shared" si="7"/>
        <v>0.27420691022009497</v>
      </c>
      <c r="AD29" s="156">
        <f>Poor!AD29</f>
        <v>0.25</v>
      </c>
      <c r="AE29" s="121">
        <f t="shared" si="8"/>
        <v>0.27420691022009497</v>
      </c>
      <c r="AF29" s="122">
        <f t="shared" si="10"/>
        <v>0.25</v>
      </c>
      <c r="AG29" s="121">
        <f t="shared" si="11"/>
        <v>0.27420691022009497</v>
      </c>
      <c r="AH29" s="123">
        <f t="shared" si="12"/>
        <v>1</v>
      </c>
      <c r="AI29" s="184">
        <f t="shared" si="13"/>
        <v>0.27420691022009497</v>
      </c>
      <c r="AJ29" s="120">
        <f t="shared" si="14"/>
        <v>0.27420691022009497</v>
      </c>
      <c r="AK29" s="119">
        <f t="shared" si="15"/>
        <v>0.27420691022009497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0.7395463412204234</v>
      </c>
      <c r="C30" s="103"/>
      <c r="D30" s="24">
        <f>(D119-B124)</f>
        <v>6.2394227061683889</v>
      </c>
      <c r="E30" s="75">
        <f>Poor!E30</f>
        <v>1</v>
      </c>
      <c r="H30" s="96">
        <f>(E30*F$7/F$9)</f>
        <v>1</v>
      </c>
      <c r="I30" s="29">
        <f>IF(E30&gt;=1,I119-I124,MIN(I119-I124,B30*H30))</f>
        <v>2.1897987688361251</v>
      </c>
      <c r="J30" s="231">
        <f>IF(I$32&lt;=1,I30,1-SUM(J6:J29))</f>
        <v>0.51195412154863262</v>
      </c>
      <c r="K30" s="22">
        <f t="shared" si="4"/>
        <v>0.7395463412204234</v>
      </c>
      <c r="L30" s="22">
        <f>IF(L124=L119,0,IF(K30="",0,(L119-L124)/(B119-B124)*K30))</f>
        <v>0.25938921046136632</v>
      </c>
      <c r="M30" s="175">
        <f t="shared" si="6"/>
        <v>0.51195412154863262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4">
        <f>M30*4</f>
        <v>2.0478164861945305</v>
      </c>
      <c r="Z30" s="122">
        <f>IF($Y30=0,0,AA30/($Y$30))</f>
        <v>0.22980400823715916</v>
      </c>
      <c r="AA30" s="188">
        <f>IF(AA79*4/$I$84+SUM(AA6:AA29)&lt;1,AA79*4/$I$84,1-SUM(AA6:AA29))</f>
        <v>0.4705964366616382</v>
      </c>
      <c r="AB30" s="122">
        <f>IF($Y30=0,0,AC30/($Y$30))</f>
        <v>0.25851043242682137</v>
      </c>
      <c r="AC30" s="188">
        <f>IF(AC79*4/$I$84+SUM(AC6:AC29)&lt;1,AC79*4/$I$84,1-SUM(AC6:AC29))</f>
        <v>0.52938192537692197</v>
      </c>
      <c r="AD30" s="122">
        <f>IF($Y30=0,0,AE30/($Y$30))</f>
        <v>0.25680651714450747</v>
      </c>
      <c r="AE30" s="188">
        <f>IF(AE79*4/$I$84+SUM(AE6:AE29)&lt;1,AE79*4/$I$84,1-SUM(AE6:AE29))</f>
        <v>0.52589261957072075</v>
      </c>
      <c r="AF30" s="122">
        <f>IF($Y30=0,0,AG30/($Y$30))</f>
        <v>0.25487904219151192</v>
      </c>
      <c r="AG30" s="188">
        <f>IF(AG79*4/$I$84+SUM(AG6:AG29)&lt;1,AG79*4/$I$84,1-SUM(AG6:AG29))</f>
        <v>0.52194550458524946</v>
      </c>
      <c r="AH30" s="123">
        <f t="shared" si="12"/>
        <v>1</v>
      </c>
      <c r="AI30" s="184">
        <f t="shared" si="13"/>
        <v>0.51195412154863251</v>
      </c>
      <c r="AJ30" s="120">
        <f t="shared" si="14"/>
        <v>0.49998918101928008</v>
      </c>
      <c r="AK30" s="119">
        <f t="shared" si="15"/>
        <v>0.52391906207798511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0.24026022524595425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1.319864704433817</v>
      </c>
      <c r="C32" s="77">
        <f>SUM(C6:C31)</f>
        <v>-5.5989850118081955E-2</v>
      </c>
      <c r="D32" s="24">
        <f>SUM(D6:D30)</f>
        <v>6.7637512192637006</v>
      </c>
      <c r="E32" s="2"/>
      <c r="F32" s="2"/>
      <c r="H32" s="17"/>
      <c r="I32" s="22">
        <f>SUM(I6:I30)</f>
        <v>2.6019630687072177</v>
      </c>
      <c r="J32" s="17"/>
      <c r="L32" s="22">
        <f>SUM(L6:L30)</f>
        <v>0.75973977475404575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0.13953063917627595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8000</v>
      </c>
      <c r="C37" s="104">
        <f>IF([1]Summ!$I1072="",0,[1]Summ!$I1072)</f>
        <v>-4000</v>
      </c>
      <c r="D37" s="38">
        <f t="shared" ref="D37:D64" si="25">B37+C37</f>
        <v>4000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2360</v>
      </c>
      <c r="J37" s="38">
        <f>J91*I$83</f>
        <v>4390.7076915439893</v>
      </c>
      <c r="K37" s="40">
        <f>(B37/B$65)</f>
        <v>6.1614294516327786E-2</v>
      </c>
      <c r="L37" s="22">
        <f t="shared" ref="L37" si="28">(K37*H37)</f>
        <v>3.6352433764633395E-2</v>
      </c>
      <c r="M37" s="24">
        <f>J37/B$65</f>
        <v>3.3816294605237135E-2</v>
      </c>
      <c r="N37" s="2"/>
      <c r="O37" s="2"/>
      <c r="P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4390.7076915439893</v>
      </c>
      <c r="AH37" s="123">
        <f>SUM(Z37,AB37,AD37,AF37)</f>
        <v>1</v>
      </c>
      <c r="AI37" s="112">
        <f>SUM(AA37,AC37,AE37,AG37)</f>
        <v>4390.7076915439893</v>
      </c>
      <c r="AJ37" s="148">
        <f>(AA37+AC37)</f>
        <v>0</v>
      </c>
      <c r="AK37" s="147">
        <f>(AE37+AG37)</f>
        <v>4390.7076915439893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600</v>
      </c>
      <c r="C38" s="104">
        <f>IF([1]Summ!$I1073="",0,[1]Summ!$I1073)</f>
        <v>600</v>
      </c>
      <c r="D38" s="38">
        <f t="shared" si="25"/>
        <v>1200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708</v>
      </c>
      <c r="J38" s="38">
        <f t="shared" ref="J38:J64" si="32">J92*I$83</f>
        <v>403.39384626840166</v>
      </c>
      <c r="K38" s="40">
        <f t="shared" ref="K38:K64" si="33">(B38/B$65)</f>
        <v>4.6210720887245845E-3</v>
      </c>
      <c r="L38" s="22">
        <f t="shared" ref="L38:L64" si="34">(K38*H38)</f>
        <v>2.7264325323475046E-3</v>
      </c>
      <c r="M38" s="24">
        <f t="shared" ref="M38:M64" si="35">J38/B$65</f>
        <v>3.1068534062569444E-3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403.39384626840166</v>
      </c>
      <c r="AH38" s="123">
        <f t="shared" ref="AH38:AI58" si="37">SUM(Z38,AB38,AD38,AF38)</f>
        <v>1</v>
      </c>
      <c r="AI38" s="112">
        <f t="shared" si="37"/>
        <v>403.39384626840166</v>
      </c>
      <c r="AJ38" s="148">
        <f t="shared" ref="AJ38:AJ64" si="38">(AA38+AC38)</f>
        <v>0</v>
      </c>
      <c r="AK38" s="147">
        <f t="shared" ref="AK38:AK64" si="39">(AE38+AG38)</f>
        <v>403.39384626840166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Chicken/ duck sales: no. sold</v>
      </c>
      <c r="B39" s="104">
        <f>IF([1]Summ!$H1074="",0,[1]Summ!$H1074)</f>
        <v>100</v>
      </c>
      <c r="C39" s="104">
        <f>IF([1]Summ!$I1074="",0,[1]Summ!$I1074)</f>
        <v>0</v>
      </c>
      <c r="D39" s="38">
        <f t="shared" si="25"/>
        <v>100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118</v>
      </c>
      <c r="J39" s="38">
        <f t="shared" si="32"/>
        <v>117.99999999999999</v>
      </c>
      <c r="K39" s="40">
        <f t="shared" si="33"/>
        <v>7.701786814540973E-4</v>
      </c>
      <c r="L39" s="22">
        <f t="shared" si="34"/>
        <v>9.0881084411583476E-4</v>
      </c>
      <c r="M39" s="24">
        <f t="shared" si="35"/>
        <v>9.0881084411583476E-4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95">
        <f>X8</f>
        <v>1</v>
      </c>
      <c r="Y39" s="110"/>
      <c r="Z39" s="122">
        <f>Z8</f>
        <v>1</v>
      </c>
      <c r="AA39" s="147">
        <f t="shared" ref="AA39:AA64" si="40">$J39*Z39</f>
        <v>117.99999999999999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117.99999999999999</v>
      </c>
      <c r="AJ39" s="148">
        <f t="shared" si="38"/>
        <v>117.99999999999999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350</v>
      </c>
      <c r="C40" s="104">
        <f>IF([1]Summ!$I1075="",0,[1]Summ!$I1075)</f>
        <v>-350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126.48899604108743</v>
      </c>
      <c r="K40" s="40">
        <f t="shared" si="33"/>
        <v>2.6956253850893407E-3</v>
      </c>
      <c r="L40" s="22">
        <f t="shared" si="34"/>
        <v>1.132162661737523E-3</v>
      </c>
      <c r="M40" s="24">
        <f t="shared" si="35"/>
        <v>9.7419128189377255E-4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95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126.48899604108743</v>
      </c>
      <c r="AH40" s="123">
        <f t="shared" si="37"/>
        <v>1</v>
      </c>
      <c r="AI40" s="112">
        <f t="shared" si="37"/>
        <v>126.48899604108743</v>
      </c>
      <c r="AJ40" s="148">
        <f t="shared" si="38"/>
        <v>0</v>
      </c>
      <c r="AK40" s="147">
        <f t="shared" si="39"/>
        <v>126.48899604108743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Beans: kg produced</v>
      </c>
      <c r="B41" s="104">
        <f>IF([1]Summ!$H1076="",0,[1]Summ!$H1076)</f>
        <v>200</v>
      </c>
      <c r="C41" s="104">
        <f>IF([1]Summ!$I1076="",0,[1]Summ!$I1076)</f>
        <v>260</v>
      </c>
      <c r="D41" s="38">
        <f t="shared" si="25"/>
        <v>460</v>
      </c>
      <c r="E41" s="75">
        <f>Poor!E41</f>
        <v>0.2</v>
      </c>
      <c r="F41" s="75">
        <f>Poor!F41</f>
        <v>1.4</v>
      </c>
      <c r="G41" s="75">
        <f>Poor!G41</f>
        <v>1.65</v>
      </c>
      <c r="H41" s="24">
        <f t="shared" si="30"/>
        <v>0.27999999999999997</v>
      </c>
      <c r="I41" s="39">
        <f t="shared" si="31"/>
        <v>128.79999999999998</v>
      </c>
      <c r="J41" s="38">
        <f t="shared" si="32"/>
        <v>66.157830532032875</v>
      </c>
      <c r="K41" s="40">
        <f t="shared" si="33"/>
        <v>1.5403573629081946E-3</v>
      </c>
      <c r="L41" s="22">
        <f t="shared" si="34"/>
        <v>4.3130006161429447E-4</v>
      </c>
      <c r="M41" s="24">
        <f t="shared" si="35"/>
        <v>5.09533506870247E-4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95">
        <f>X11</f>
        <v>1</v>
      </c>
      <c r="Y41" s="110"/>
      <c r="Z41" s="122">
        <f>Z11</f>
        <v>1</v>
      </c>
      <c r="AA41" s="147">
        <f t="shared" si="40"/>
        <v>66.157830532032875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66.157830532032875</v>
      </c>
      <c r="AJ41" s="148">
        <f t="shared" si="38"/>
        <v>66.157830532032875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Amadumbe: kg produced</v>
      </c>
      <c r="B42" s="104">
        <f>IF([1]Summ!$H1077="",0,[1]Summ!$H1077)</f>
        <v>280</v>
      </c>
      <c r="C42" s="104">
        <f>IF([1]Summ!$I1077="",0,[1]Summ!$I1077)</f>
        <v>-280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67.460797888579947</v>
      </c>
      <c r="K42" s="40">
        <f t="shared" si="33"/>
        <v>2.1565003080714724E-3</v>
      </c>
      <c r="L42" s="22">
        <f t="shared" si="34"/>
        <v>6.0382008626001218E-4</v>
      </c>
      <c r="M42" s="24">
        <f t="shared" si="35"/>
        <v>5.1956868367667862E-4</v>
      </c>
      <c r="N42" s="2"/>
      <c r="O42" s="2"/>
      <c r="P42" s="2"/>
      <c r="Q42" s="41"/>
      <c r="R42" s="41"/>
      <c r="S42" s="255"/>
      <c r="T42" s="255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16.865199472144987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33.730398944289973</v>
      </c>
      <c r="AF42" s="122">
        <f t="shared" si="29"/>
        <v>0.25</v>
      </c>
      <c r="AG42" s="147">
        <f t="shared" si="36"/>
        <v>16.865199472144987</v>
      </c>
      <c r="AH42" s="123">
        <f t="shared" si="37"/>
        <v>1</v>
      </c>
      <c r="AI42" s="112">
        <f t="shared" si="37"/>
        <v>67.460797888579947</v>
      </c>
      <c r="AJ42" s="148">
        <f t="shared" si="38"/>
        <v>16.865199472144987</v>
      </c>
      <c r="AK42" s="147">
        <f t="shared" si="39"/>
        <v>50.59559841643496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Potatoes: kg produced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Sweet Potatoes: kg produced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Other crop: Cabbage</v>
      </c>
      <c r="B45" s="104">
        <f>IF([1]Summ!$H1080="",0,[1]Summ!$H1080)</f>
        <v>60</v>
      </c>
      <c r="C45" s="104">
        <f>IF([1]Summ!$I1080="",0,[1]Summ!$I1080)</f>
        <v>-60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14.455885261838562</v>
      </c>
      <c r="K45" s="40">
        <f t="shared" si="33"/>
        <v>4.621072088724584E-4</v>
      </c>
      <c r="L45" s="22">
        <f t="shared" si="34"/>
        <v>1.2939001848428835E-4</v>
      </c>
      <c r="M45" s="24">
        <f t="shared" si="35"/>
        <v>1.1133614650214542E-4</v>
      </c>
      <c r="N45" s="2"/>
      <c r="O45" s="2"/>
      <c r="P45" s="2"/>
      <c r="Q45" s="256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3.6139713154596405</v>
      </c>
      <c r="AB45" s="156">
        <f>Poor!AB45</f>
        <v>0.25</v>
      </c>
      <c r="AC45" s="147">
        <f t="shared" si="41"/>
        <v>3.6139713154596405</v>
      </c>
      <c r="AD45" s="156">
        <f>Poor!AD45</f>
        <v>0.25</v>
      </c>
      <c r="AE45" s="147">
        <f t="shared" si="42"/>
        <v>3.6139713154596405</v>
      </c>
      <c r="AF45" s="122">
        <f t="shared" si="29"/>
        <v>0.25</v>
      </c>
      <c r="AG45" s="147">
        <f t="shared" si="36"/>
        <v>3.6139713154596405</v>
      </c>
      <c r="AH45" s="123">
        <f t="shared" si="37"/>
        <v>1</v>
      </c>
      <c r="AI45" s="112">
        <f t="shared" si="37"/>
        <v>14.455885261838562</v>
      </c>
      <c r="AJ45" s="148">
        <f t="shared" si="38"/>
        <v>7.2279426309192809</v>
      </c>
      <c r="AK45" s="147">
        <f t="shared" si="39"/>
        <v>7.2279426309192809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Other crop: Spinach: no produced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Other cashcrop: sugar cane (tons)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4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Agricultural cash income -- see Data2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0.5</v>
      </c>
      <c r="F48" s="75">
        <f>Poor!F48</f>
        <v>1.1100000000000001</v>
      </c>
      <c r="G48" s="75">
        <f>Poor!G48</f>
        <v>1.65</v>
      </c>
      <c r="H48" s="24">
        <f t="shared" si="30"/>
        <v>0.55500000000000005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6"/>
      <c r="R48" s="253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Domestic work cash income -- see Data2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0.5</v>
      </c>
      <c r="F49" s="75">
        <f>Poor!F49</f>
        <v>1.1100000000000001</v>
      </c>
      <c r="G49" s="75">
        <f>Poor!G49</f>
        <v>1.65</v>
      </c>
      <c r="H49" s="24">
        <f t="shared" si="30"/>
        <v>0.55500000000000005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6"/>
      <c r="R49" s="253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Formal Employment (conservancies, etc.)</v>
      </c>
      <c r="B50" s="104">
        <f>IF([1]Summ!$H1085="",0,[1]Summ!$H1085)</f>
        <v>108000</v>
      </c>
      <c r="C50" s="104">
        <f>IF([1]Summ!$I1085="",0,[1]Summ!$I1085)</f>
        <v>0</v>
      </c>
      <c r="D50" s="38">
        <f t="shared" si="25"/>
        <v>108000</v>
      </c>
      <c r="E50" s="75">
        <f>Poor!E50</f>
        <v>0.6</v>
      </c>
      <c r="F50" s="75">
        <f>Poor!F50</f>
        <v>1.18</v>
      </c>
      <c r="G50" s="75">
        <f>Poor!G50</f>
        <v>1.65</v>
      </c>
      <c r="H50" s="24">
        <f t="shared" si="30"/>
        <v>0.70799999999999996</v>
      </c>
      <c r="I50" s="39">
        <f t="shared" si="31"/>
        <v>76464</v>
      </c>
      <c r="J50" s="38">
        <f t="shared" si="32"/>
        <v>76464</v>
      </c>
      <c r="K50" s="40">
        <f t="shared" si="33"/>
        <v>0.83179297597042512</v>
      </c>
      <c r="L50" s="22">
        <f t="shared" si="34"/>
        <v>0.58890942698706095</v>
      </c>
      <c r="M50" s="24">
        <f t="shared" si="35"/>
        <v>0.58890942698706095</v>
      </c>
      <c r="N50" s="2"/>
      <c r="O50" s="2"/>
      <c r="P50" s="2"/>
      <c r="Q50" s="256"/>
      <c r="R50" s="253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19116</v>
      </c>
      <c r="AB50" s="156">
        <f>Poor!AB55</f>
        <v>0.25</v>
      </c>
      <c r="AC50" s="147">
        <f t="shared" si="41"/>
        <v>19116</v>
      </c>
      <c r="AD50" s="156">
        <f>Poor!AD55</f>
        <v>0.25</v>
      </c>
      <c r="AE50" s="147">
        <f t="shared" si="42"/>
        <v>19116</v>
      </c>
      <c r="AF50" s="122">
        <f t="shared" si="29"/>
        <v>0.25</v>
      </c>
      <c r="AG50" s="147">
        <f t="shared" si="36"/>
        <v>19116</v>
      </c>
      <c r="AH50" s="123">
        <f t="shared" si="37"/>
        <v>1</v>
      </c>
      <c r="AI50" s="112">
        <f t="shared" si="37"/>
        <v>76464</v>
      </c>
      <c r="AJ50" s="148">
        <f t="shared" si="38"/>
        <v>38232</v>
      </c>
      <c r="AK50" s="147">
        <f t="shared" si="39"/>
        <v>38232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Small business -- see Data2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0.8</v>
      </c>
      <c r="F51" s="75">
        <f>Poor!F51</f>
        <v>1.18</v>
      </c>
      <c r="G51" s="75">
        <f>Poor!G51</f>
        <v>1.65</v>
      </c>
      <c r="H51" s="24">
        <f t="shared" si="30"/>
        <v>0.94399999999999995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6"/>
      <c r="R51" s="253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Social development -- see Data2</v>
      </c>
      <c r="B52" s="104">
        <f>IF([1]Summ!$H1087="",0,[1]Summ!$H1087)</f>
        <v>8400</v>
      </c>
      <c r="C52" s="104">
        <f>IF([1]Summ!$I1087="",0,[1]Summ!$I1087)</f>
        <v>0</v>
      </c>
      <c r="D52" s="38">
        <f t="shared" si="25"/>
        <v>8400</v>
      </c>
      <c r="E52" s="75">
        <f>Poor!E52</f>
        <v>0</v>
      </c>
      <c r="F52" s="75">
        <f>Poor!F52</f>
        <v>1.18</v>
      </c>
      <c r="G52" s="75">
        <f>Poor!G52</f>
        <v>1.65</v>
      </c>
      <c r="H52" s="24">
        <f t="shared" si="30"/>
        <v>0</v>
      </c>
      <c r="I52" s="39">
        <f t="shared" si="31"/>
        <v>0</v>
      </c>
      <c r="J52" s="38">
        <f t="shared" si="32"/>
        <v>0</v>
      </c>
      <c r="K52" s="40">
        <f t="shared" si="33"/>
        <v>6.4695009242144177E-2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Public works -- see Data2</v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1.18</v>
      </c>
      <c r="G53" s="75">
        <f>Poor!G53</f>
        <v>1.65</v>
      </c>
      <c r="H53" s="24">
        <f t="shared" si="30"/>
        <v>1.18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Gifts/social support: type</v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Other income: e.g. Credit (cotton loans)</v>
      </c>
      <c r="B55" s="104">
        <f>IF([1]Summ!$H1090="",0,[1]Summ!$H1090)</f>
        <v>2500</v>
      </c>
      <c r="C55" s="104">
        <f>IF([1]Summ!$I1090="",0,[1]Summ!$I1090)</f>
        <v>0</v>
      </c>
      <c r="D55" s="38">
        <f t="shared" si="25"/>
        <v>2500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2500</v>
      </c>
      <c r="J55" s="38">
        <f t="shared" si="32"/>
        <v>2500</v>
      </c>
      <c r="K55" s="40">
        <f t="shared" si="33"/>
        <v>1.9254467036352432E-2</v>
      </c>
      <c r="L55" s="22">
        <f t="shared" si="34"/>
        <v>1.9254467036352432E-2</v>
      </c>
      <c r="M55" s="24">
        <f t="shared" si="35"/>
        <v>1.9254467036352432E-2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Remittances: no. times per year</v>
      </c>
      <c r="B56" s="104">
        <f>IF([1]Summ!$H1091="",0,[1]Summ!$H1091)</f>
        <v>1350</v>
      </c>
      <c r="C56" s="104">
        <f>IF([1]Summ!$I1091="",0,[1]Summ!$I1091)</f>
        <v>0</v>
      </c>
      <c r="D56" s="38">
        <f t="shared" si="25"/>
        <v>1350</v>
      </c>
      <c r="E56" s="75">
        <f>Poor!E56</f>
        <v>1</v>
      </c>
      <c r="F56" s="75">
        <f>Poor!F56</f>
        <v>1.1100000000000001</v>
      </c>
      <c r="G56" s="75">
        <f>Poor!G56</f>
        <v>1.65</v>
      </c>
      <c r="H56" s="24">
        <f t="shared" si="30"/>
        <v>1.1100000000000001</v>
      </c>
      <c r="I56" s="39">
        <f t="shared" si="31"/>
        <v>1498.5000000000002</v>
      </c>
      <c r="J56" s="38">
        <f t="shared" si="32"/>
        <v>1498.5</v>
      </c>
      <c r="K56" s="40">
        <f t="shared" si="33"/>
        <v>1.0397412199630314E-2</v>
      </c>
      <c r="L56" s="22">
        <f t="shared" si="34"/>
        <v>1.154112754158965E-2</v>
      </c>
      <c r="M56" s="24">
        <f t="shared" si="35"/>
        <v>1.1541127541589648E-2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129840</v>
      </c>
      <c r="C65" s="39">
        <f>SUM(C37:C64)</f>
        <v>-3830</v>
      </c>
      <c r="D65" s="42">
        <f>SUM(D37:D64)</f>
        <v>126010</v>
      </c>
      <c r="E65" s="32"/>
      <c r="F65" s="32"/>
      <c r="G65" s="32"/>
      <c r="H65" s="31"/>
      <c r="I65" s="39">
        <f>SUM(I37:I64)</f>
        <v>83777.3</v>
      </c>
      <c r="J65" s="39">
        <f>SUM(J37:J64)</f>
        <v>85649.165047535935</v>
      </c>
      <c r="K65" s="40">
        <f>SUM(K37:K64)</f>
        <v>1.0000000000000002</v>
      </c>
      <c r="L65" s="22">
        <f>SUM(L37:L64)</f>
        <v>0.6619893715341959</v>
      </c>
      <c r="M65" s="24">
        <f>SUM(M37:M64)</f>
        <v>0.65965161003955586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19320.637001319639</v>
      </c>
      <c r="AB65" s="137"/>
      <c r="AC65" s="153">
        <f>SUM(AC37:AC64)</f>
        <v>19119.613971315459</v>
      </c>
      <c r="AD65" s="137"/>
      <c r="AE65" s="153">
        <f>SUM(AE37:AE64)</f>
        <v>19153.344370259751</v>
      </c>
      <c r="AF65" s="137"/>
      <c r="AG65" s="153">
        <f>SUM(AG37:AG64)</f>
        <v>24057.069704641082</v>
      </c>
      <c r="AH65" s="137"/>
      <c r="AI65" s="153">
        <f>SUM(AI37:AI64)</f>
        <v>81650.665047535935</v>
      </c>
      <c r="AJ65" s="153">
        <f>SUM(AJ37:AJ64)</f>
        <v>38440.250972635098</v>
      </c>
      <c r="AK65" s="153">
        <f>SUM(AK37:AK64)</f>
        <v>43210.414074900837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13164.072352952426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18429.701294133396</v>
      </c>
      <c r="J70" s="51">
        <f t="shared" ref="J70:J77" si="44">J124*I$83</f>
        <v>18429.701294133396</v>
      </c>
      <c r="K70" s="40">
        <f>B70/B$76</f>
        <v>0.10138687887363236</v>
      </c>
      <c r="L70" s="22">
        <f t="shared" ref="L70:L75" si="45">(L124*G$37*F$9/F$7)/B$130</f>
        <v>0.14194163042308527</v>
      </c>
      <c r="M70" s="24">
        <f>J70/B$76</f>
        <v>0.1419416304230853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4607.425323533349</v>
      </c>
      <c r="AB70" s="156">
        <f>Poor!AB70</f>
        <v>0.25</v>
      </c>
      <c r="AC70" s="147">
        <f>$J70*AB70</f>
        <v>4607.425323533349</v>
      </c>
      <c r="AD70" s="156">
        <f>Poor!AD70</f>
        <v>0.25</v>
      </c>
      <c r="AE70" s="147">
        <f>$J70*AD70</f>
        <v>4607.425323533349</v>
      </c>
      <c r="AF70" s="156">
        <f>Poor!AF70</f>
        <v>0.25</v>
      </c>
      <c r="AG70" s="147">
        <f>$J70*AF70</f>
        <v>4607.425323533349</v>
      </c>
      <c r="AH70" s="155">
        <f>SUM(Z70,AB70,AD70,AF70)</f>
        <v>1</v>
      </c>
      <c r="AI70" s="147">
        <f>SUM(AA70,AC70,AE70,AG70)</f>
        <v>18429.701294133396</v>
      </c>
      <c r="AJ70" s="148">
        <f>(AA70+AC70)</f>
        <v>9214.850647066698</v>
      </c>
      <c r="AK70" s="147">
        <f>(AE70+AG70)</f>
        <v>9214.850647066698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12178.833333333334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14371.023333333334</v>
      </c>
      <c r="J71" s="51">
        <f t="shared" si="44"/>
        <v>14371.023333333334</v>
      </c>
      <c r="K71" s="40">
        <f t="shared" ref="K71:K72" si="47">B71/B$76</f>
        <v>9.3798777983158763E-2</v>
      </c>
      <c r="L71" s="22">
        <f t="shared" si="45"/>
        <v>0.11068255802012733</v>
      </c>
      <c r="M71" s="24">
        <f t="shared" ref="M71:M72" si="48">J71/B$76</f>
        <v>0.11068255802012734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28645.68</v>
      </c>
      <c r="K72" s="40">
        <f t="shared" si="47"/>
        <v>0.18696857670979666</v>
      </c>
      <c r="L72" s="22">
        <f t="shared" si="45"/>
        <v>0.22062292051756008</v>
      </c>
      <c r="M72" s="24">
        <f t="shared" si="48"/>
        <v>0.22062292051756008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3042.5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3590.15</v>
      </c>
      <c r="K73" s="40">
        <f>B73/B$76</f>
        <v>2.3432686383240912E-2</v>
      </c>
      <c r="L73" s="22">
        <f t="shared" si="45"/>
        <v>2.7650569932224277E-2</v>
      </c>
      <c r="M73" s="24">
        <f>J73/B$76</f>
        <v>2.7650569932224277E-2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323.11349999999993</v>
      </c>
      <c r="AB73" s="156">
        <f>Poor!AB73</f>
        <v>0.09</v>
      </c>
      <c r="AC73" s="147">
        <f>$H$73*$B$73*AB73</f>
        <v>323.11349999999993</v>
      </c>
      <c r="AD73" s="156">
        <f>Poor!AD73</f>
        <v>0.23</v>
      </c>
      <c r="AE73" s="147">
        <f>$H$73*$B$73*AD73</f>
        <v>825.73449999999991</v>
      </c>
      <c r="AF73" s="156">
        <f>Poor!AF73</f>
        <v>0.59</v>
      </c>
      <c r="AG73" s="147">
        <f>$H$73*$B$73*AF73</f>
        <v>2118.1884999999997</v>
      </c>
      <c r="AH73" s="155">
        <f>SUM(Z73,AB73,AD73,AF73)</f>
        <v>1</v>
      </c>
      <c r="AI73" s="147">
        <f>SUM(AA73,AC73,AE73,AG73)</f>
        <v>3590.1499999999996</v>
      </c>
      <c r="AJ73" s="148">
        <f>(AA73+AC73)</f>
        <v>646.22699999999986</v>
      </c>
      <c r="AK73" s="147">
        <f>(AE73+AG73)</f>
        <v>2943.9229999999998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13375.402956830279</v>
      </c>
      <c r="C74" s="39"/>
      <c r="D74" s="38"/>
      <c r="E74" s="32"/>
      <c r="F74" s="32"/>
      <c r="G74" s="32"/>
      <c r="H74" s="31"/>
      <c r="I74" s="39">
        <f>I128*I$83</f>
        <v>65347.5987058666</v>
      </c>
      <c r="J74" s="51">
        <f t="shared" si="44"/>
        <v>15277.646954087826</v>
      </c>
      <c r="K74" s="40">
        <f>B74/B$76</f>
        <v>0.10301450213208779</v>
      </c>
      <c r="L74" s="22">
        <f t="shared" si="45"/>
        <v>5.9616822719356116E-2</v>
      </c>
      <c r="M74" s="24">
        <f>J74/B$76</f>
        <v>0.11766517986820568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4889.2648400002699</v>
      </c>
      <c r="AB74" s="156"/>
      <c r="AC74" s="147">
        <f>AC30*$I$84/4</f>
        <v>5500.0170699083019</v>
      </c>
      <c r="AD74" s="156"/>
      <c r="AE74" s="147">
        <f>AE30*$I$84/4</f>
        <v>5463.764903794824</v>
      </c>
      <c r="AF74" s="156"/>
      <c r="AG74" s="147">
        <f>AG30*$I$84/4</f>
        <v>5422.7563261379164</v>
      </c>
      <c r="AH74" s="155"/>
      <c r="AI74" s="147">
        <f>SUM(AA74,AC74,AE74,AG74)</f>
        <v>21275.803139841315</v>
      </c>
      <c r="AJ74" s="148">
        <f>(AA74+AC74)</f>
        <v>10389.281909908572</v>
      </c>
      <c r="AK74" s="147">
        <f>(AE74+AG74)</f>
        <v>10886.52122993274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63803.191356883966</v>
      </c>
      <c r="C75" s="39"/>
      <c r="D75" s="38"/>
      <c r="E75" s="32"/>
      <c r="F75" s="32"/>
      <c r="G75" s="32"/>
      <c r="H75" s="31"/>
      <c r="I75" s="47"/>
      <c r="J75" s="51">
        <f t="shared" si="44"/>
        <v>5334.9634659813883</v>
      </c>
      <c r="K75" s="40">
        <f>B75/B$76</f>
        <v>0.49139857791808356</v>
      </c>
      <c r="L75" s="22">
        <f t="shared" si="45"/>
        <v>0.10147486992184299</v>
      </c>
      <c r="M75" s="24">
        <f>J75/B$76</f>
        <v>4.1088751278353271E-2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20044.67573031439</v>
      </c>
      <c r="AB75" s="158"/>
      <c r="AC75" s="149">
        <f>AA75+AC65-SUM(AC70,AC74)</f>
        <v>29056.8473081882</v>
      </c>
      <c r="AD75" s="158"/>
      <c r="AE75" s="149">
        <f>AC75+AE65-SUM(AE70,AE74)</f>
        <v>38139.001451119781</v>
      </c>
      <c r="AF75" s="158"/>
      <c r="AG75" s="149">
        <f>IF(SUM(AG6:AG29)+((AG65-AG70-$J$75)*4/I$83)&lt;1,0,AG65-AG70-$J$75-(1-SUM(AG6:AG29))*I$83/4)</f>
        <v>10220.728892528368</v>
      </c>
      <c r="AH75" s="134"/>
      <c r="AI75" s="149">
        <f>AI76-SUM(AI70,AI74)</f>
        <v>41945.160613561224</v>
      </c>
      <c r="AJ75" s="151">
        <f>AJ76-SUM(AJ70,AJ74)</f>
        <v>18836.118415659828</v>
      </c>
      <c r="AK75" s="149">
        <f>AJ75+AK76-SUM(AK70,AK74)</f>
        <v>41945.160613561231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129840</v>
      </c>
      <c r="C76" s="39"/>
      <c r="D76" s="38"/>
      <c r="E76" s="32"/>
      <c r="F76" s="32"/>
      <c r="G76" s="32"/>
      <c r="H76" s="31"/>
      <c r="I76" s="39">
        <f>I130*I$83</f>
        <v>83777.3</v>
      </c>
      <c r="J76" s="51">
        <f t="shared" si="44"/>
        <v>85649.165047535935</v>
      </c>
      <c r="K76" s="40">
        <f>SUM(K70:K75)</f>
        <v>1</v>
      </c>
      <c r="L76" s="22">
        <f>SUM(L70:L75)</f>
        <v>0.66198937153419601</v>
      </c>
      <c r="M76" s="24">
        <f>SUM(M70:M75)</f>
        <v>0.65965161003955597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19320.637001319639</v>
      </c>
      <c r="AB76" s="137"/>
      <c r="AC76" s="153">
        <f>AC65</f>
        <v>19119.613971315459</v>
      </c>
      <c r="AD76" s="137"/>
      <c r="AE76" s="153">
        <f>AE65</f>
        <v>19153.344370259751</v>
      </c>
      <c r="AF76" s="137"/>
      <c r="AG76" s="153">
        <f>AG65</f>
        <v>24057.069704641082</v>
      </c>
      <c r="AH76" s="137"/>
      <c r="AI76" s="153">
        <f>SUM(AA76,AC76,AE76,AG76)</f>
        <v>81650.665047535935</v>
      </c>
      <c r="AJ76" s="154">
        <f>SUM(AA76,AC76)</f>
        <v>38440.250972635098</v>
      </c>
      <c r="AK76" s="154">
        <f>SUM(AE76,AG76)</f>
        <v>43210.414074900837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14371.023333333329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10220.728892528368</v>
      </c>
      <c r="AB78" s="112"/>
      <c r="AC78" s="112">
        <f>IF(AA75&lt;0,0,AA75)</f>
        <v>20044.67573031439</v>
      </c>
      <c r="AD78" s="112"/>
      <c r="AE78" s="112">
        <f>AC75</f>
        <v>29056.8473081882</v>
      </c>
      <c r="AF78" s="112"/>
      <c r="AG78" s="112">
        <f>AE75</f>
        <v>38139.001451119781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24933.940570314659</v>
      </c>
      <c r="AB79" s="112"/>
      <c r="AC79" s="112">
        <f>AA79-AA74+AC65-AC70</f>
        <v>34556.864378096507</v>
      </c>
      <c r="AD79" s="112"/>
      <c r="AE79" s="112">
        <f>AC79-AC74+AE65-AE70</f>
        <v>43602.766354914609</v>
      </c>
      <c r="AF79" s="112"/>
      <c r="AG79" s="112">
        <f>AE79-AE74+AG65-AG70</f>
        <v>57588.645832227528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0.68362752198526333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10.354545454545455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18085.956499707314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29841.828224517067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10389.506717654307</v>
      </c>
      <c r="AB83" s="112"/>
      <c r="AC83" s="165">
        <f>$I$84*AB82/4</f>
        <v>10389.506717654307</v>
      </c>
      <c r="AD83" s="112"/>
      <c r="AE83" s="165">
        <f>$I$84*AD82/4</f>
        <v>10389.506717654307</v>
      </c>
      <c r="AF83" s="112"/>
      <c r="AG83" s="165">
        <f>$I$84*AF82/4</f>
        <v>10389.506717654307</v>
      </c>
      <c r="AH83" s="165">
        <f>SUM(AA83,AC83,AE83,AG83)</f>
        <v>41558.026870617228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27181.239369003233</v>
      </c>
      <c r="C84" s="46"/>
      <c r="D84" s="235"/>
      <c r="E84" s="64"/>
      <c r="F84" s="64"/>
      <c r="G84" s="64"/>
      <c r="H84" s="236">
        <f>IF(B84=0,0,I84/B84)</f>
        <v>1.5289231777270944</v>
      </c>
      <c r="I84" s="234">
        <f>(B70*H70)+((1-(D29*H29))*I83)</f>
        <v>41558.026870617228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0.44233214871049065</v>
      </c>
      <c r="C91" s="75">
        <f t="shared" si="50"/>
        <v>-0.22116607435524532</v>
      </c>
      <c r="D91" s="24">
        <f t="shared" ref="D91" si="51">(B91+C91)</f>
        <v>0.22116607435524532</v>
      </c>
      <c r="H91" s="24">
        <f>(E37*F37/G37*F$7/F$9)</f>
        <v>0.3575757575757576</v>
      </c>
      <c r="I91" s="22">
        <f t="shared" ref="I91" si="52">(D91*H91)</f>
        <v>7.9083626587633182E-2</v>
      </c>
      <c r="J91" s="24">
        <f>IF(I$32&lt;=1+I$131,I91,L91+J$33*(I91-L91))</f>
        <v>0.14713266420911597</v>
      </c>
      <c r="K91" s="22">
        <f t="shared" ref="K91" si="53">(B91)</f>
        <v>0.44233214871049065</v>
      </c>
      <c r="L91" s="22">
        <f t="shared" ref="L91" si="54">(K91*H91)</f>
        <v>0.15816725317526636</v>
      </c>
      <c r="M91" s="227">
        <f t="shared" si="49"/>
        <v>0.14713266420911597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3.3174911153286794E-2</v>
      </c>
      <c r="C92" s="75">
        <f t="shared" si="50"/>
        <v>3.3174911153286794E-2</v>
      </c>
      <c r="D92" s="24">
        <f t="shared" ref="D92:D118" si="56">(B92+C92)</f>
        <v>6.6349822306573589E-2</v>
      </c>
      <c r="H92" s="24">
        <f t="shared" ref="H92:H118" si="57">(E38*F38/G38*F$7/F$9)</f>
        <v>0.3575757575757576</v>
      </c>
      <c r="I92" s="22">
        <f t="shared" ref="I92:I118" si="58">(D92*H92)</f>
        <v>2.3725087976289951E-2</v>
      </c>
      <c r="J92" s="24">
        <f t="shared" ref="J92:J118" si="59">IF(I$32&lt;=1+I$131,I92,L92+J$33*(I92-L92))</f>
        <v>1.3517732333067533E-2</v>
      </c>
      <c r="K92" s="22">
        <f t="shared" ref="K92:K118" si="60">(B92)</f>
        <v>3.3174911153286794E-2</v>
      </c>
      <c r="L92" s="22">
        <f t="shared" ref="L92:L118" si="61">(K92*H92)</f>
        <v>1.1862543988144975E-2</v>
      </c>
      <c r="M92" s="227">
        <f t="shared" ref="M92:M118" si="62">(J92)</f>
        <v>1.3517732333067533E-2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Chicken/ duck sales: no. sold</v>
      </c>
      <c r="B93" s="75">
        <f t="shared" si="50"/>
        <v>5.5291518588811324E-3</v>
      </c>
      <c r="C93" s="75">
        <f t="shared" si="50"/>
        <v>0</v>
      </c>
      <c r="D93" s="24">
        <f t="shared" si="56"/>
        <v>5.5291518588811324E-3</v>
      </c>
      <c r="H93" s="24">
        <f t="shared" si="57"/>
        <v>0.7151515151515152</v>
      </c>
      <c r="I93" s="22">
        <f t="shared" si="58"/>
        <v>3.9541813293816584E-3</v>
      </c>
      <c r="J93" s="24">
        <f t="shared" si="59"/>
        <v>3.9541813293816584E-3</v>
      </c>
      <c r="K93" s="22">
        <f t="shared" si="60"/>
        <v>5.5291518588811324E-3</v>
      </c>
      <c r="L93" s="22">
        <f t="shared" si="61"/>
        <v>3.9541813293816584E-3</v>
      </c>
      <c r="M93" s="227">
        <f t="shared" si="62"/>
        <v>3.9541813293816584E-3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1.9352031506083965E-2</v>
      </c>
      <c r="C94" s="75">
        <f t="shared" si="50"/>
        <v>-1.9352031506083965E-2</v>
      </c>
      <c r="D94" s="24">
        <f t="shared" si="56"/>
        <v>0</v>
      </c>
      <c r="H94" s="24">
        <f t="shared" si="57"/>
        <v>0.25454545454545457</v>
      </c>
      <c r="I94" s="22">
        <f t="shared" si="58"/>
        <v>0</v>
      </c>
      <c r="J94" s="24">
        <f t="shared" si="59"/>
        <v>4.2386476823550717E-3</v>
      </c>
      <c r="K94" s="22">
        <f t="shared" si="60"/>
        <v>1.9352031506083965E-2</v>
      </c>
      <c r="L94" s="22">
        <f t="shared" si="61"/>
        <v>4.9259716560941004E-3</v>
      </c>
      <c r="M94" s="227">
        <f t="shared" si="62"/>
        <v>4.2386476823550717E-3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si="50"/>
        <v>1.1058303717762265E-2</v>
      </c>
      <c r="C95" s="75">
        <f t="shared" si="50"/>
        <v>1.4375794833090946E-2</v>
      </c>
      <c r="D95" s="24">
        <f t="shared" si="56"/>
        <v>2.5434098550853212E-2</v>
      </c>
      <c r="H95" s="24">
        <f t="shared" si="57"/>
        <v>0.16969696969696968</v>
      </c>
      <c r="I95" s="22">
        <f t="shared" si="58"/>
        <v>4.3160894510538778E-3</v>
      </c>
      <c r="J95" s="24">
        <f t="shared" si="59"/>
        <v>2.216949646458985E-3</v>
      </c>
      <c r="K95" s="22">
        <f t="shared" si="60"/>
        <v>1.1058303717762265E-2</v>
      </c>
      <c r="L95" s="22">
        <f t="shared" si="61"/>
        <v>1.8765606308929902E-3</v>
      </c>
      <c r="M95" s="227">
        <f t="shared" si="62"/>
        <v>2.216949646458985E-3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Amadumbe: kg produced</v>
      </c>
      <c r="B96" s="75">
        <f t="shared" si="50"/>
        <v>1.5481625204867172E-2</v>
      </c>
      <c r="C96" s="75">
        <f t="shared" si="50"/>
        <v>-1.5481625204867172E-2</v>
      </c>
      <c r="D96" s="24">
        <f t="shared" si="56"/>
        <v>0</v>
      </c>
      <c r="H96" s="24">
        <f t="shared" si="57"/>
        <v>0.16969696969696968</v>
      </c>
      <c r="I96" s="22">
        <f t="shared" si="58"/>
        <v>0</v>
      </c>
      <c r="J96" s="24">
        <f t="shared" si="59"/>
        <v>2.2606120972560378E-3</v>
      </c>
      <c r="K96" s="22">
        <f t="shared" si="60"/>
        <v>1.5481625204867172E-2</v>
      </c>
      <c r="L96" s="22">
        <f t="shared" si="61"/>
        <v>2.6271848832501864E-3</v>
      </c>
      <c r="M96" s="227">
        <f t="shared" si="62"/>
        <v>2.2606120972560378E-3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0.16969696969696968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7">
        <f t="shared" si="6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Sweet Potatoes: kg produced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0.16969696969696968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7">
        <f t="shared" si="6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Cabbage</v>
      </c>
      <c r="B99" s="75">
        <f t="shared" si="50"/>
        <v>3.3174911153286799E-3</v>
      </c>
      <c r="C99" s="75">
        <f t="shared" si="50"/>
        <v>-3.3174911153286799E-3</v>
      </c>
      <c r="D99" s="24">
        <f t="shared" si="56"/>
        <v>0</v>
      </c>
      <c r="H99" s="24">
        <f t="shared" si="57"/>
        <v>0.16969696969696968</v>
      </c>
      <c r="I99" s="22">
        <f t="shared" si="58"/>
        <v>0</v>
      </c>
      <c r="J99" s="24">
        <f t="shared" si="59"/>
        <v>4.844168779834367E-4</v>
      </c>
      <c r="K99" s="22">
        <f t="shared" si="60"/>
        <v>3.3174911153286799E-3</v>
      </c>
      <c r="L99" s="22">
        <f t="shared" si="61"/>
        <v>5.629681892678971E-4</v>
      </c>
      <c r="M99" s="227">
        <f t="shared" si="62"/>
        <v>4.844168779834367E-4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Spinach: no produced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0.16969696969696968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7">
        <f t="shared" si="6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cashcrop: sugar cane (tons)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0.16969696969696968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7">
        <f t="shared" si="6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Agricultural cash income -- see Data2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0.33636363636363642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Domestic work cash income -- see Data2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0.33636363636363642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Formal Employment (conservancies, etc.)</v>
      </c>
      <c r="B104" s="75">
        <f t="shared" si="50"/>
        <v>5.9714840075916236</v>
      </c>
      <c r="C104" s="75">
        <f t="shared" si="50"/>
        <v>0</v>
      </c>
      <c r="D104" s="24">
        <f t="shared" si="56"/>
        <v>5.9714840075916236</v>
      </c>
      <c r="H104" s="24">
        <f t="shared" si="57"/>
        <v>0.42909090909090908</v>
      </c>
      <c r="I104" s="22">
        <f t="shared" si="58"/>
        <v>2.5623095014393149</v>
      </c>
      <c r="J104" s="24">
        <f t="shared" si="59"/>
        <v>2.5623095014393149</v>
      </c>
      <c r="K104" s="22">
        <f t="shared" si="60"/>
        <v>5.9714840075916236</v>
      </c>
      <c r="L104" s="22">
        <f t="shared" si="61"/>
        <v>2.5623095014393149</v>
      </c>
      <c r="M104" s="227">
        <f t="shared" si="62"/>
        <v>2.5623095014393149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Small business -- see Data2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0.57212121212121214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Social development -- see Data2</v>
      </c>
      <c r="B106" s="75">
        <f t="shared" si="50"/>
        <v>0.46444875614601516</v>
      </c>
      <c r="C106" s="75">
        <f t="shared" si="50"/>
        <v>0</v>
      </c>
      <c r="D106" s="24">
        <f t="shared" si="56"/>
        <v>0.46444875614601516</v>
      </c>
      <c r="H106" s="24">
        <f t="shared" si="57"/>
        <v>0</v>
      </c>
      <c r="I106" s="22">
        <f t="shared" si="58"/>
        <v>0</v>
      </c>
      <c r="J106" s="24">
        <f t="shared" si="59"/>
        <v>0</v>
      </c>
      <c r="K106" s="22">
        <f t="shared" si="60"/>
        <v>0.46444875614601516</v>
      </c>
      <c r="L106" s="22">
        <f t="shared" si="61"/>
        <v>0</v>
      </c>
      <c r="M106" s="227">
        <f t="shared" si="62"/>
        <v>0</v>
      </c>
      <c r="N106" s="229">
        <v>11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Public works -- see Data2</v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0.7151515151515152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7">
        <f t="shared" si="62"/>
        <v>0</v>
      </c>
      <c r="N107" s="229">
        <v>14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Gifts/social support: type</v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7">
        <f t="shared" si="62"/>
        <v>0</v>
      </c>
      <c r="N108" s="229">
        <v>9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Other income: e.g. Credit (cotton loans)</v>
      </c>
      <c r="B109" s="75">
        <f t="shared" si="50"/>
        <v>0.13822879647202832</v>
      </c>
      <c r="C109" s="75">
        <f t="shared" si="50"/>
        <v>0</v>
      </c>
      <c r="D109" s="24">
        <f t="shared" si="56"/>
        <v>0.13822879647202832</v>
      </c>
      <c r="H109" s="24">
        <f t="shared" si="57"/>
        <v>0.60606060606060608</v>
      </c>
      <c r="I109" s="22">
        <f t="shared" si="58"/>
        <v>8.377502816486565E-2</v>
      </c>
      <c r="J109" s="24">
        <f t="shared" si="59"/>
        <v>8.377502816486565E-2</v>
      </c>
      <c r="K109" s="22">
        <f t="shared" si="60"/>
        <v>0.13822879647202832</v>
      </c>
      <c r="L109" s="22">
        <f t="shared" si="61"/>
        <v>8.377502816486565E-2</v>
      </c>
      <c r="M109" s="227">
        <f t="shared" si="62"/>
        <v>8.377502816486565E-2</v>
      </c>
      <c r="N109" s="229">
        <v>15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Remittances: no. times per year</v>
      </c>
      <c r="B110" s="75">
        <f t="shared" si="50"/>
        <v>7.4643550094895289E-2</v>
      </c>
      <c r="C110" s="75">
        <f t="shared" si="50"/>
        <v>0</v>
      </c>
      <c r="D110" s="24">
        <f t="shared" si="56"/>
        <v>7.4643550094895289E-2</v>
      </c>
      <c r="H110" s="24">
        <f t="shared" si="57"/>
        <v>0.67272727272727284</v>
      </c>
      <c r="I110" s="22">
        <f t="shared" si="58"/>
        <v>5.0214751882020472E-2</v>
      </c>
      <c r="J110" s="24">
        <f t="shared" si="59"/>
        <v>5.0214751882020472E-2</v>
      </c>
      <c r="K110" s="22">
        <f t="shared" si="60"/>
        <v>7.4643550094895289E-2</v>
      </c>
      <c r="L110" s="22">
        <f t="shared" si="61"/>
        <v>5.0214751882020472E-2</v>
      </c>
      <c r="M110" s="227">
        <f t="shared" si="62"/>
        <v>5.0214751882020472E-2</v>
      </c>
      <c r="N110" s="229">
        <v>16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7">
        <f t="shared" si="62"/>
        <v>0</v>
      </c>
      <c r="N111" s="229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7.1790507735712632</v>
      </c>
      <c r="C119" s="22">
        <f>SUM(C91:C118)</f>
        <v>-0.21176651619514739</v>
      </c>
      <c r="D119" s="24">
        <f>SUM(D91:D118)</f>
        <v>6.9672842573761153</v>
      </c>
      <c r="E119" s="22"/>
      <c r="F119" s="2"/>
      <c r="G119" s="2"/>
      <c r="H119" s="31"/>
      <c r="I119" s="22">
        <f>SUM(I91:I118)</f>
        <v>2.8073782668305598</v>
      </c>
      <c r="J119" s="24">
        <f>SUM(J91:J118)</f>
        <v>2.8701044856618201</v>
      </c>
      <c r="K119" s="22">
        <f>SUM(K91:K118)</f>
        <v>7.1790507735712632</v>
      </c>
      <c r="L119" s="22">
        <f>SUM(L91:L118)</f>
        <v>2.8802759453384996</v>
      </c>
      <c r="M119" s="57">
        <f t="shared" si="49"/>
        <v>2.8701044856618201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0.72786155120772633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0.61757949799443446</v>
      </c>
      <c r="J124" s="237">
        <f>IF(SUMPRODUCT($B$124:$B124,$H$124:$H124)&lt;J$119,($B124*$H124),J$119)</f>
        <v>0.61757949799443446</v>
      </c>
      <c r="K124" s="22">
        <f>(B124)</f>
        <v>0.72786155120772633</v>
      </c>
      <c r="L124" s="29">
        <f>IF(SUMPRODUCT($B$124:$B124,$H$124:$H124)&lt;L$119,($B124*$H124),L$119)</f>
        <v>0.61757949799443446</v>
      </c>
      <c r="M124" s="57">
        <f t="shared" si="63"/>
        <v>0.61757949799443446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0.67338618964003505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0.48157315380317661</v>
      </c>
      <c r="J125" s="237">
        <f>IF(SUMPRODUCT($B$124:$B125,$H$124:$H125)&lt;J$119,($B125*$H125),IF(SUMPRODUCT($B$124:$B124,$H$124:$H124)&lt;J$119,J$119-SUMPRODUCT($B$124:$B124,$H$124:$H124),0))</f>
        <v>0.48157315380317661</v>
      </c>
      <c r="K125" s="22">
        <f t="shared" ref="K125:K126" si="64">(B125)</f>
        <v>0.67338618964003505</v>
      </c>
      <c r="L125" s="29">
        <f>IF(SUMPRODUCT($B$124:$B125,$H$124:$H125)&lt;L$119,($B125*$H125),IF(SUMPRODUCT($B$124:$B124,$H$124:$H124)&lt;L$119,L$119-SUMPRODUCT($B$124:$B124,$H$124:$H124),0))</f>
        <v>0.48157315380317661</v>
      </c>
      <c r="M125" s="57">
        <f t="shared" ref="M125:M126" si="65">(J125)</f>
        <v>0.48157315380317661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1.3422569052619837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0.95991705952069151</v>
      </c>
      <c r="K126" s="22">
        <f t="shared" si="64"/>
        <v>1.3422569052619837</v>
      </c>
      <c r="L126" s="29">
        <f>IF(SUMPRODUCT($B$124:$B126,$H$124:$H126)&lt;(L$119-L$128),($B126*$H126),IF(SUMPRODUCT($B$124:$B125,$H$124:$H125)&lt;(L$119-L$128),L$119-L$128-SUMPRODUCT($B$124:$B125,$H$124:$H125),0))</f>
        <v>0.95991705952069151</v>
      </c>
      <c r="M126" s="57">
        <f t="shared" si="65"/>
        <v>0.95991705952069151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0.16822444530645847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0.12030596694643697</v>
      </c>
      <c r="K127" s="22">
        <f>(B127)</f>
        <v>0.16822444530645847</v>
      </c>
      <c r="L127" s="29">
        <f>IF(SUMPRODUCT($B$124:$B127,$H$124:$H127)&lt;(L$119-L$128),($B127*$H127),IF(SUMPRODUCT($B$124:$B126,$H$124:$H126)&lt;(L$119-L128),L$119-L$128-SUMPRODUCT($B$124:$B126,$H$124:$H126),0))</f>
        <v>0.12030596694643697</v>
      </c>
      <c r="M127" s="57">
        <f t="shared" si="63"/>
        <v>0.12030596694643697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0.7395463412204234</v>
      </c>
      <c r="C128" s="2"/>
      <c r="D128" s="31"/>
      <c r="E128" s="2"/>
      <c r="F128" s="2"/>
      <c r="G128" s="2"/>
      <c r="H128" s="24"/>
      <c r="I128" s="29">
        <f>(I30)</f>
        <v>2.1897987688361251</v>
      </c>
      <c r="J128" s="228">
        <f>(J30)</f>
        <v>0.51195412154863262</v>
      </c>
      <c r="K128" s="22">
        <f>(B128)</f>
        <v>0.7395463412204234</v>
      </c>
      <c r="L128" s="22">
        <f>IF(L124=L119,0,(L119-L124)/(B119-B124)*K128)</f>
        <v>0.25938921046136632</v>
      </c>
      <c r="M128" s="57">
        <f t="shared" si="63"/>
        <v>0.51195412154863262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3.5277753409346362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0.17877468584844802</v>
      </c>
      <c r="K129" s="29">
        <f>(B129)</f>
        <v>3.5277753409346362</v>
      </c>
      <c r="L129" s="60">
        <f>IF(SUM(L124:L128)&gt;L130,0,L130-SUM(L124:L128))</f>
        <v>0.44151105661239409</v>
      </c>
      <c r="M129" s="57">
        <f t="shared" si="63"/>
        <v>0.17877468584844802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7.1790507735712632</v>
      </c>
      <c r="C130" s="2"/>
      <c r="D130" s="31"/>
      <c r="E130" s="2"/>
      <c r="F130" s="2"/>
      <c r="G130" s="2"/>
      <c r="H130" s="24"/>
      <c r="I130" s="29">
        <f>(I119)</f>
        <v>2.8073782668305598</v>
      </c>
      <c r="J130" s="228">
        <f>(J119)</f>
        <v>2.8701044856618201</v>
      </c>
      <c r="K130" s="22">
        <f>(B130)</f>
        <v>7.1790507735712632</v>
      </c>
      <c r="L130" s="22">
        <f>(L119)</f>
        <v>2.8802759453384996</v>
      </c>
      <c r="M130" s="57">
        <f t="shared" si="63"/>
        <v>2.8701044856618201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0.48157315380317645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532" operator="equal">
      <formula>16</formula>
    </cfRule>
    <cfRule type="cellIs" dxfId="292" priority="533" operator="equal">
      <formula>15</formula>
    </cfRule>
    <cfRule type="cellIs" dxfId="291" priority="534" operator="equal">
      <formula>14</formula>
    </cfRule>
    <cfRule type="cellIs" dxfId="290" priority="535" operator="equal">
      <formula>13</formula>
    </cfRule>
    <cfRule type="cellIs" dxfId="289" priority="536" operator="equal">
      <formula>12</formula>
    </cfRule>
    <cfRule type="cellIs" dxfId="288" priority="537" operator="equal">
      <formula>11</formula>
    </cfRule>
    <cfRule type="cellIs" dxfId="287" priority="538" operator="equal">
      <formula>10</formula>
    </cfRule>
    <cfRule type="cellIs" dxfId="286" priority="539" operator="equal">
      <formula>9</formula>
    </cfRule>
    <cfRule type="cellIs" dxfId="285" priority="540" operator="equal">
      <formula>8</formula>
    </cfRule>
    <cfRule type="cellIs" dxfId="284" priority="541" operator="equal">
      <formula>7</formula>
    </cfRule>
    <cfRule type="cellIs" dxfId="283" priority="542" operator="equal">
      <formula>6</formula>
    </cfRule>
    <cfRule type="cellIs" dxfId="282" priority="543" operator="equal">
      <formula>5</formula>
    </cfRule>
    <cfRule type="cellIs" dxfId="281" priority="544" operator="equal">
      <formula>4</formula>
    </cfRule>
    <cfRule type="cellIs" dxfId="280" priority="545" operator="equal">
      <formula>3</formula>
    </cfRule>
    <cfRule type="cellIs" dxfId="279" priority="546" operator="equal">
      <formula>2</formula>
    </cfRule>
    <cfRule type="cellIs" dxfId="278" priority="547" operator="equal">
      <formula>1</formula>
    </cfRule>
  </conditionalFormatting>
  <conditionalFormatting sqref="N29">
    <cfRule type="cellIs" dxfId="277" priority="516" operator="equal">
      <formula>16</formula>
    </cfRule>
    <cfRule type="cellIs" dxfId="276" priority="517" operator="equal">
      <formula>15</formula>
    </cfRule>
    <cfRule type="cellIs" dxfId="275" priority="518" operator="equal">
      <formula>14</formula>
    </cfRule>
    <cfRule type="cellIs" dxfId="274" priority="519" operator="equal">
      <formula>13</formula>
    </cfRule>
    <cfRule type="cellIs" dxfId="273" priority="520" operator="equal">
      <formula>12</formula>
    </cfRule>
    <cfRule type="cellIs" dxfId="272" priority="521" operator="equal">
      <formula>11</formula>
    </cfRule>
    <cfRule type="cellIs" dxfId="271" priority="522" operator="equal">
      <formula>10</formula>
    </cfRule>
    <cfRule type="cellIs" dxfId="270" priority="523" operator="equal">
      <formula>9</formula>
    </cfRule>
    <cfRule type="cellIs" dxfId="269" priority="524" operator="equal">
      <formula>8</formula>
    </cfRule>
    <cfRule type="cellIs" dxfId="268" priority="525" operator="equal">
      <formula>7</formula>
    </cfRule>
    <cfRule type="cellIs" dxfId="267" priority="526" operator="equal">
      <formula>6</formula>
    </cfRule>
    <cfRule type="cellIs" dxfId="266" priority="527" operator="equal">
      <formula>5</formula>
    </cfRule>
    <cfRule type="cellIs" dxfId="265" priority="528" operator="equal">
      <formula>4</formula>
    </cfRule>
    <cfRule type="cellIs" dxfId="264" priority="529" operator="equal">
      <formula>3</formula>
    </cfRule>
    <cfRule type="cellIs" dxfId="263" priority="530" operator="equal">
      <formula>2</formula>
    </cfRule>
    <cfRule type="cellIs" dxfId="262" priority="531" operator="equal">
      <formula>1</formula>
    </cfRule>
  </conditionalFormatting>
  <conditionalFormatting sqref="N27:N28">
    <cfRule type="cellIs" dxfId="261" priority="324" operator="equal">
      <formula>16</formula>
    </cfRule>
    <cfRule type="cellIs" dxfId="260" priority="325" operator="equal">
      <formula>15</formula>
    </cfRule>
    <cfRule type="cellIs" dxfId="259" priority="326" operator="equal">
      <formula>14</formula>
    </cfRule>
    <cfRule type="cellIs" dxfId="258" priority="327" operator="equal">
      <formula>13</formula>
    </cfRule>
    <cfRule type="cellIs" dxfId="257" priority="328" operator="equal">
      <formula>12</formula>
    </cfRule>
    <cfRule type="cellIs" dxfId="256" priority="329" operator="equal">
      <formula>11</formula>
    </cfRule>
    <cfRule type="cellIs" dxfId="255" priority="330" operator="equal">
      <formula>10</formula>
    </cfRule>
    <cfRule type="cellIs" dxfId="254" priority="331" operator="equal">
      <formula>9</formula>
    </cfRule>
    <cfRule type="cellIs" dxfId="253" priority="332" operator="equal">
      <formula>8</formula>
    </cfRule>
    <cfRule type="cellIs" dxfId="252" priority="333" operator="equal">
      <formula>7</formula>
    </cfRule>
    <cfRule type="cellIs" dxfId="251" priority="334" operator="equal">
      <formula>6</formula>
    </cfRule>
    <cfRule type="cellIs" dxfId="250" priority="335" operator="equal">
      <formula>5</formula>
    </cfRule>
    <cfRule type="cellIs" dxfId="249" priority="336" operator="equal">
      <formula>4</formula>
    </cfRule>
    <cfRule type="cellIs" dxfId="248" priority="337" operator="equal">
      <formula>3</formula>
    </cfRule>
    <cfRule type="cellIs" dxfId="247" priority="338" operator="equal">
      <formula>2</formula>
    </cfRule>
    <cfRule type="cellIs" dxfId="246" priority="339" operator="equal">
      <formula>1</formula>
    </cfRule>
  </conditionalFormatting>
  <conditionalFormatting sqref="N113:N118">
    <cfRule type="cellIs" dxfId="245" priority="196" operator="equal">
      <formula>16</formula>
    </cfRule>
    <cfRule type="cellIs" dxfId="244" priority="197" operator="equal">
      <formula>15</formula>
    </cfRule>
    <cfRule type="cellIs" dxfId="243" priority="198" operator="equal">
      <formula>14</formula>
    </cfRule>
    <cfRule type="cellIs" dxfId="242" priority="199" operator="equal">
      <formula>13</formula>
    </cfRule>
    <cfRule type="cellIs" dxfId="241" priority="200" operator="equal">
      <formula>12</formula>
    </cfRule>
    <cfRule type="cellIs" dxfId="240" priority="201" operator="equal">
      <formula>11</formula>
    </cfRule>
    <cfRule type="cellIs" dxfId="239" priority="202" operator="equal">
      <formula>10</formula>
    </cfRule>
    <cfRule type="cellIs" dxfId="238" priority="203" operator="equal">
      <formula>9</formula>
    </cfRule>
    <cfRule type="cellIs" dxfId="237" priority="204" operator="equal">
      <formula>8</formula>
    </cfRule>
    <cfRule type="cellIs" dxfId="236" priority="205" operator="equal">
      <formula>7</formula>
    </cfRule>
    <cfRule type="cellIs" dxfId="235" priority="206" operator="equal">
      <formula>6</formula>
    </cfRule>
    <cfRule type="cellIs" dxfId="234" priority="207" operator="equal">
      <formula>5</formula>
    </cfRule>
    <cfRule type="cellIs" dxfId="233" priority="208" operator="equal">
      <formula>4</formula>
    </cfRule>
    <cfRule type="cellIs" dxfId="232" priority="209" operator="equal">
      <formula>3</formula>
    </cfRule>
    <cfRule type="cellIs" dxfId="231" priority="210" operator="equal">
      <formula>2</formula>
    </cfRule>
    <cfRule type="cellIs" dxfId="230" priority="211" operator="equal">
      <formula>1</formula>
    </cfRule>
  </conditionalFormatting>
  <conditionalFormatting sqref="N112">
    <cfRule type="cellIs" dxfId="229" priority="180" operator="equal">
      <formula>16</formula>
    </cfRule>
    <cfRule type="cellIs" dxfId="228" priority="181" operator="equal">
      <formula>15</formula>
    </cfRule>
    <cfRule type="cellIs" dxfId="227" priority="182" operator="equal">
      <formula>14</formula>
    </cfRule>
    <cfRule type="cellIs" dxfId="226" priority="183" operator="equal">
      <formula>13</formula>
    </cfRule>
    <cfRule type="cellIs" dxfId="225" priority="184" operator="equal">
      <formula>12</formula>
    </cfRule>
    <cfRule type="cellIs" dxfId="224" priority="185" operator="equal">
      <formula>11</formula>
    </cfRule>
    <cfRule type="cellIs" dxfId="223" priority="186" operator="equal">
      <formula>10</formula>
    </cfRule>
    <cfRule type="cellIs" dxfId="222" priority="187" operator="equal">
      <formula>9</formula>
    </cfRule>
    <cfRule type="cellIs" dxfId="221" priority="188" operator="equal">
      <formula>8</formula>
    </cfRule>
    <cfRule type="cellIs" dxfId="220" priority="189" operator="equal">
      <formula>7</formula>
    </cfRule>
    <cfRule type="cellIs" dxfId="219" priority="190" operator="equal">
      <formula>6</formula>
    </cfRule>
    <cfRule type="cellIs" dxfId="218" priority="191" operator="equal">
      <formula>5</formula>
    </cfRule>
    <cfRule type="cellIs" dxfId="217" priority="192" operator="equal">
      <formula>4</formula>
    </cfRule>
    <cfRule type="cellIs" dxfId="216" priority="193" operator="equal">
      <formula>3</formula>
    </cfRule>
    <cfRule type="cellIs" dxfId="215" priority="194" operator="equal">
      <formula>2</formula>
    </cfRule>
    <cfRule type="cellIs" dxfId="214" priority="195" operator="equal">
      <formula>1</formula>
    </cfRule>
  </conditionalFormatting>
  <conditionalFormatting sqref="N111">
    <cfRule type="cellIs" dxfId="213" priority="52" operator="equal">
      <formula>16</formula>
    </cfRule>
    <cfRule type="cellIs" dxfId="212" priority="53" operator="equal">
      <formula>15</formula>
    </cfRule>
    <cfRule type="cellIs" dxfId="211" priority="54" operator="equal">
      <formula>14</formula>
    </cfRule>
    <cfRule type="cellIs" dxfId="210" priority="55" operator="equal">
      <formula>13</formula>
    </cfRule>
    <cfRule type="cellIs" dxfId="209" priority="56" operator="equal">
      <formula>12</formula>
    </cfRule>
    <cfRule type="cellIs" dxfId="208" priority="57" operator="equal">
      <formula>11</formula>
    </cfRule>
    <cfRule type="cellIs" dxfId="207" priority="58" operator="equal">
      <formula>10</formula>
    </cfRule>
    <cfRule type="cellIs" dxfId="206" priority="59" operator="equal">
      <formula>9</formula>
    </cfRule>
    <cfRule type="cellIs" dxfId="205" priority="60" operator="equal">
      <formula>8</formula>
    </cfRule>
    <cfRule type="cellIs" dxfId="204" priority="61" operator="equal">
      <formula>7</formula>
    </cfRule>
    <cfRule type="cellIs" dxfId="203" priority="62" operator="equal">
      <formula>6</formula>
    </cfRule>
    <cfRule type="cellIs" dxfId="202" priority="63" operator="equal">
      <formula>5</formula>
    </cfRule>
    <cfRule type="cellIs" dxfId="201" priority="64" operator="equal">
      <formula>4</formula>
    </cfRule>
    <cfRule type="cellIs" dxfId="200" priority="65" operator="equal">
      <formula>3</formula>
    </cfRule>
    <cfRule type="cellIs" dxfId="199" priority="66" operator="equal">
      <formula>2</formula>
    </cfRule>
    <cfRule type="cellIs" dxfId="198" priority="67" operator="equal">
      <formula>1</formula>
    </cfRule>
  </conditionalFormatting>
  <conditionalFormatting sqref="N91:N104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105:N110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6:N26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T26" sqref="T26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ZASCO: 59305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Own meat</v>
      </c>
      <c r="B6" s="101">
        <f>IF([1]Summ!$J1044="",0,[1]Summ!$J1044)</f>
        <v>8.5785733188044833E-2</v>
      </c>
      <c r="C6" s="102">
        <f>IF([1]Summ!$K1044="",0,[1]Summ!$K1044)</f>
        <v>0</v>
      </c>
      <c r="D6" s="24">
        <f t="shared" ref="D6:D29" si="0">(B6+C6)</f>
        <v>8.5785733188044833E-2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1.7157146637608967E-2</v>
      </c>
      <c r="J6" s="24">
        <f t="shared" ref="J6:J13" si="3">IF(I$32&lt;=1+I$131,I6,B6*H6+J$33*(I6-B6*H6))</f>
        <v>1.7157146637608967E-2</v>
      </c>
      <c r="K6" s="22">
        <f t="shared" ref="K6:K31" si="4">B6</f>
        <v>8.5785733188044833E-2</v>
      </c>
      <c r="L6" s="22">
        <f t="shared" ref="L6:L29" si="5">IF(K6="","",K6*H6)</f>
        <v>1.7157146637608967E-2</v>
      </c>
      <c r="M6" s="177">
        <f t="shared" ref="M6:M31" si="6">J6</f>
        <v>1.7157146637608967E-2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6.8628586550435869E-2</v>
      </c>
      <c r="Z6" s="156">
        <f>Poor!Z6</f>
        <v>0.17</v>
      </c>
      <c r="AA6" s="121">
        <f>$M6*Z6*4</f>
        <v>1.1666859713574099E-2</v>
      </c>
      <c r="AB6" s="156">
        <f>Poor!AB6</f>
        <v>0.17</v>
      </c>
      <c r="AC6" s="121">
        <f t="shared" ref="AC6:AC29" si="7">$M6*AB6*4</f>
        <v>1.1666859713574099E-2</v>
      </c>
      <c r="AD6" s="156">
        <f>Poor!AD6</f>
        <v>0.33</v>
      </c>
      <c r="AE6" s="121">
        <f t="shared" ref="AE6:AE29" si="8">$M6*AD6*4</f>
        <v>2.2647433561643837E-2</v>
      </c>
      <c r="AF6" s="122">
        <f>1-SUM(Z6,AB6,AD6)</f>
        <v>0.32999999999999996</v>
      </c>
      <c r="AG6" s="121">
        <f>$M6*AF6*4</f>
        <v>2.2647433561643834E-2</v>
      </c>
      <c r="AH6" s="123">
        <f>SUM(Z6,AB6,AD6,AF6)</f>
        <v>1</v>
      </c>
      <c r="AI6" s="184">
        <f>SUM(AA6,AC6,AE6,AG6)/4</f>
        <v>1.7157146637608967E-2</v>
      </c>
      <c r="AJ6" s="120">
        <f>(AA6+AC6)/2</f>
        <v>1.1666859713574099E-2</v>
      </c>
      <c r="AK6" s="119">
        <f>(AE6+AG6)/2</f>
        <v>2.2647433561643837E-2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Green cons - Season 1: no of months</v>
      </c>
      <c r="B7" s="101">
        <f>IF([1]Summ!$J1045="",0,[1]Summ!$J1045)</f>
        <v>4.9999999999999992E-3</v>
      </c>
      <c r="C7" s="102">
        <f>IF([1]Summ!$K1045="",0,[1]Summ!$K1045)</f>
        <v>0</v>
      </c>
      <c r="D7" s="24">
        <f t="shared" si="0"/>
        <v>4.9999999999999992E-3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9.999999999999998E-4</v>
      </c>
      <c r="J7" s="24">
        <f t="shared" si="3"/>
        <v>9.999999999999998E-4</v>
      </c>
      <c r="K7" s="22">
        <f t="shared" si="4"/>
        <v>4.9999999999999992E-3</v>
      </c>
      <c r="L7" s="22">
        <f t="shared" si="5"/>
        <v>9.999999999999998E-4</v>
      </c>
      <c r="M7" s="177">
        <f t="shared" si="6"/>
        <v>9.999999999999998E-4</v>
      </c>
      <c r="N7" s="229">
        <v>1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2112.904554101895</v>
      </c>
      <c r="S7" s="222">
        <f>IF($B$81=0,0,(SUMIF($N$6:$N$28,$U7,L$6:L$28)+SUMIF($N$91:$N$118,$U7,L$91:L$118))*$I$83*Poor!$B$81/$B$81)</f>
        <v>552.86870015408726</v>
      </c>
      <c r="T7" s="222">
        <f>IF($B$81=0,0,(SUMIF($N$6:$N$28,$U7,M$6:M$28)+SUMIF($N$91:$N$118,$U7,M$91:M$118))*$I$83*Poor!$B$81/$B$81)</f>
        <v>554.72360956729653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3.9999999999999992E-3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3.9999999999999992E-3</v>
      </c>
      <c r="AH7" s="123">
        <f t="shared" ref="AH7:AH30" si="12">SUM(Z7,AB7,AD7,AF7)</f>
        <v>1</v>
      </c>
      <c r="AI7" s="184">
        <f t="shared" ref="AI7:AI30" si="13">SUM(AA7,AC7,AE7,AG7)/4</f>
        <v>9.999999999999998E-4</v>
      </c>
      <c r="AJ7" s="120">
        <f t="shared" ref="AJ7:AJ31" si="14">(AA7+AC7)/2</f>
        <v>0</v>
      </c>
      <c r="AK7" s="119">
        <f t="shared" ref="AK7:AK31" si="15">(AE7+AG7)/2</f>
        <v>1.9999999999999996E-3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Maize: kg produced</v>
      </c>
      <c r="B8" s="101">
        <f>IF([1]Summ!$J1046="",0,[1]Summ!$J1046)</f>
        <v>2.8389788293897884E-2</v>
      </c>
      <c r="C8" s="102">
        <f>IF([1]Summ!$K1046="",0,[1]Summ!$K1046)</f>
        <v>0</v>
      </c>
      <c r="D8" s="24">
        <f t="shared" si="0"/>
        <v>2.8389788293897884E-2</v>
      </c>
      <c r="E8" s="75">
        <f>Middle!E8</f>
        <v>0.3</v>
      </c>
      <c r="F8" s="22" t="s">
        <v>23</v>
      </c>
      <c r="H8" s="24">
        <f t="shared" si="1"/>
        <v>0.3</v>
      </c>
      <c r="I8" s="22">
        <f t="shared" si="2"/>
        <v>8.5169364881693653E-3</v>
      </c>
      <c r="J8" s="24">
        <f t="shared" si="3"/>
        <v>8.5169364881693653E-3</v>
      </c>
      <c r="K8" s="22">
        <f t="shared" si="4"/>
        <v>2.8389788293897884E-2</v>
      </c>
      <c r="L8" s="22">
        <f t="shared" si="5"/>
        <v>8.5169364881693653E-3</v>
      </c>
      <c r="M8" s="224">
        <f t="shared" si="6"/>
        <v>8.5169364881693653E-3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52404.147701231705</v>
      </c>
      <c r="S8" s="222">
        <f>IF($B$81=0,0,(SUMIF($N$6:$N$28,$U8,L$6:L$28)+SUMIF($N$91:$N$118,$U8,L$91:L$118))*$I$83*Poor!$B$81/$B$81)</f>
        <v>9597.0559999999987</v>
      </c>
      <c r="T8" s="222">
        <f>IF($B$81=0,0,(SUMIF($N$6:$N$28,$U8,M$6:M$28)+SUMIF($N$91:$N$118,$U8,M$91:M$118))*$I$83*Poor!$B$81/$B$81)</f>
        <v>9595.0649018591957</v>
      </c>
      <c r="U8" s="223">
        <v>2</v>
      </c>
      <c r="V8" s="56"/>
      <c r="W8" s="115"/>
      <c r="X8" s="118">
        <f>Poor!X8</f>
        <v>1</v>
      </c>
      <c r="Y8" s="184">
        <f t="shared" si="9"/>
        <v>3.4067745952677461E-2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3.4067745952677461E-2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8.5169364881693653E-3</v>
      </c>
      <c r="AJ8" s="120">
        <f t="shared" si="14"/>
        <v>1.7033872976338731E-2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Pepper/ Brinjal / Beetroot: kg produced</v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Middle!E9</f>
        <v>0.2</v>
      </c>
      <c r="F9" s="76">
        <f>Poor!F9</f>
        <v>8800</v>
      </c>
      <c r="H9" s="24">
        <f t="shared" si="1"/>
        <v>0.2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2711.0289841824542</v>
      </c>
      <c r="S9" s="222">
        <f>IF($B$81=0,0,(SUMIF($N$6:$N$28,$U9,L$6:L$28)+SUMIF($N$91:$N$118,$U9,L$91:L$118))*$I$83*Poor!$B$81/$B$81)</f>
        <v>585.14356889414546</v>
      </c>
      <c r="T9" s="222">
        <f>IF($B$81=0,0,(SUMIF($N$6:$N$28,$U9,M$6:M$28)+SUMIF($N$91:$N$118,$U9,M$91:M$118))*$I$83*Poor!$B$81/$B$81)</f>
        <v>585.14356889414546</v>
      </c>
      <c r="U9" s="223">
        <v>3</v>
      </c>
      <c r="V9" s="56"/>
      <c r="W9" s="115"/>
      <c r="X9" s="118">
        <f>Poor!X9</f>
        <v>1</v>
      </c>
      <c r="Y9" s="184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4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Beans: kg produced</v>
      </c>
      <c r="B10" s="101">
        <f>IF([1]Summ!$J1048="",0,[1]Summ!$J1048)</f>
        <v>1.6791518555417186E-2</v>
      </c>
      <c r="C10" s="102">
        <f>IF([1]Summ!$K1048="",0,[1]Summ!$K1048)</f>
        <v>0</v>
      </c>
      <c r="D10" s="24">
        <f t="shared" si="0"/>
        <v>1.6791518555417186E-2</v>
      </c>
      <c r="E10" s="75">
        <f>Middle!E10</f>
        <v>0.2</v>
      </c>
      <c r="H10" s="24">
        <f t="shared" si="1"/>
        <v>0.2</v>
      </c>
      <c r="I10" s="22">
        <f t="shared" si="2"/>
        <v>3.3583037110834373E-3</v>
      </c>
      <c r="J10" s="24">
        <f t="shared" si="3"/>
        <v>3.3583037110834373E-3</v>
      </c>
      <c r="K10" s="22">
        <f t="shared" si="4"/>
        <v>1.6791518555417186E-2</v>
      </c>
      <c r="L10" s="22">
        <f t="shared" si="5"/>
        <v>3.3583037110834373E-3</v>
      </c>
      <c r="M10" s="224">
        <f t="shared" si="6"/>
        <v>3.3583037110834373E-3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1.3433214844333749E-2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1.3433214844333749E-2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3.3583037110834373E-3</v>
      </c>
      <c r="AJ10" s="120">
        <f t="shared" si="14"/>
        <v>6.7166074221668747E-3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Amadumbe: kg produced</v>
      </c>
      <c r="B11" s="101">
        <f>IF([1]Summ!$J1049="",0,[1]Summ!$J1049)</f>
        <v>2.2027397260273971E-3</v>
      </c>
      <c r="C11" s="102">
        <f>IF([1]Summ!$K1049="",0,[1]Summ!$K1049)</f>
        <v>9.9123287671232883E-3</v>
      </c>
      <c r="D11" s="24">
        <f t="shared" si="0"/>
        <v>1.2115068493150685E-2</v>
      </c>
      <c r="E11" s="75">
        <f>Middle!E11</f>
        <v>0.2</v>
      </c>
      <c r="H11" s="24">
        <f t="shared" si="1"/>
        <v>0.2</v>
      </c>
      <c r="I11" s="22">
        <f t="shared" si="2"/>
        <v>2.4230136986301372E-3</v>
      </c>
      <c r="J11" s="24">
        <f t="shared" si="3"/>
        <v>4.9493622612268716E-4</v>
      </c>
      <c r="K11" s="22">
        <f t="shared" si="4"/>
        <v>2.2027397260273971E-3</v>
      </c>
      <c r="L11" s="22">
        <f t="shared" si="5"/>
        <v>4.4054794520547943E-4</v>
      </c>
      <c r="M11" s="224">
        <f t="shared" si="6"/>
        <v>4.9493622612268716E-4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28866.069595487545</v>
      </c>
      <c r="S11" s="222">
        <f>IF($B$81=0,0,(SUMIF($N$6:$N$28,$U11,L$6:L$28)+SUMIF($N$91:$N$118,$U11,L$91:L$118))*$I$83*Poor!$B$81/$B$81)</f>
        <v>11139.2</v>
      </c>
      <c r="T11" s="222">
        <f>IF($B$81=0,0,(SUMIF($N$6:$N$28,$U11,M$6:M$28)+SUMIF($N$91:$N$118,$U11,M$91:M$118))*$I$83*Poor!$B$81/$B$81)</f>
        <v>11206.535638183204</v>
      </c>
      <c r="U11" s="223">
        <v>5</v>
      </c>
      <c r="V11" s="56"/>
      <c r="W11" s="115"/>
      <c r="X11" s="118">
        <f>Poor!X11</f>
        <v>1</v>
      </c>
      <c r="Y11" s="184">
        <f t="shared" si="9"/>
        <v>1.9797449044907487E-3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1.9797449044907487E-3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4.9493622612268716E-4</v>
      </c>
      <c r="AJ11" s="120">
        <f t="shared" si="14"/>
        <v>9.8987245224537433E-4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Potatoes: kg produced</v>
      </c>
      <c r="B12" s="101">
        <f>IF([1]Summ!$J1050="",0,[1]Summ!$J1050)</f>
        <v>9.6108343711083441E-3</v>
      </c>
      <c r="C12" s="102">
        <f>IF([1]Summ!$K1050="",0,[1]Summ!$K1050)</f>
        <v>0</v>
      </c>
      <c r="D12" s="24">
        <f t="shared" si="0"/>
        <v>9.6108343711083441E-3</v>
      </c>
      <c r="E12" s="75">
        <f>Middle!E12</f>
        <v>0.2</v>
      </c>
      <c r="H12" s="24">
        <f t="shared" si="1"/>
        <v>0.2</v>
      </c>
      <c r="I12" s="22">
        <f t="shared" si="2"/>
        <v>1.9221668742216689E-3</v>
      </c>
      <c r="J12" s="24">
        <f t="shared" si="3"/>
        <v>1.9221668742216689E-3</v>
      </c>
      <c r="K12" s="22">
        <f t="shared" si="4"/>
        <v>9.6108343711083441E-3</v>
      </c>
      <c r="L12" s="22">
        <f t="shared" si="5"/>
        <v>1.9221668742216689E-3</v>
      </c>
      <c r="M12" s="224">
        <f t="shared" si="6"/>
        <v>1.9221668742216689E-3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4">
        <f t="shared" si="9"/>
        <v>7.6886674968866756E-3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5.1514072229140728E-3</v>
      </c>
      <c r="AF12" s="122">
        <f>1-SUM(Z12,AB12,AD12)</f>
        <v>0.32999999999999996</v>
      </c>
      <c r="AG12" s="121">
        <f>$M12*AF12*4</f>
        <v>2.5372602739726028E-3</v>
      </c>
      <c r="AH12" s="123">
        <f t="shared" si="12"/>
        <v>1</v>
      </c>
      <c r="AI12" s="184">
        <f t="shared" si="13"/>
        <v>1.9221668742216689E-3</v>
      </c>
      <c r="AJ12" s="120">
        <f t="shared" si="14"/>
        <v>0</v>
      </c>
      <c r="AK12" s="119">
        <f t="shared" si="15"/>
        <v>3.8443337484433378E-3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Sweet Potatoes: kg produced</v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352263.90014832257</v>
      </c>
      <c r="S13" s="222">
        <f>IF($B$81=0,0,(SUMIF($N$6:$N$28,$U13,L$6:L$28)+SUMIF($N$91:$N$118,$U13,L$91:L$118))*$I$83*Poor!$B$81/$B$81)</f>
        <v>163123.19999999998</v>
      </c>
      <c r="T13" s="222">
        <f>IF($B$81=0,0,(SUMIF($N$6:$N$28,$U13,M$6:M$28)+SUMIF($N$91:$N$118,$U13,M$91:M$118))*$I$83*Poor!$B$81/$B$81)</f>
        <v>163123.19999999998</v>
      </c>
      <c r="U13" s="223">
        <v>7</v>
      </c>
      <c r="V13" s="56"/>
      <c r="W13" s="110"/>
      <c r="X13" s="118"/>
      <c r="Y13" s="184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Other crop: Cabbage</v>
      </c>
      <c r="B14" s="101">
        <f>IF([1]Summ!$J1052="",0,[1]Summ!$J1052)</f>
        <v>2.8557907845579078E-3</v>
      </c>
      <c r="C14" s="102">
        <f>IF([1]Summ!$K1052="",0,[1]Summ!$K1052)</f>
        <v>0</v>
      </c>
      <c r="D14" s="24">
        <f t="shared" si="0"/>
        <v>2.8557907845579078E-3</v>
      </c>
      <c r="E14" s="75">
        <f>Middle!E14</f>
        <v>0.2</v>
      </c>
      <c r="F14" s="22"/>
      <c r="H14" s="24">
        <f t="shared" si="1"/>
        <v>0.2</v>
      </c>
      <c r="I14" s="22">
        <f t="shared" si="2"/>
        <v>5.711581569115816E-4</v>
      </c>
      <c r="J14" s="24">
        <f>IF(I$32&lt;=1+I131,I14,B14*H14+J$33*(I14-B14*H14))</f>
        <v>5.711581569115816E-4</v>
      </c>
      <c r="K14" s="22">
        <f t="shared" si="4"/>
        <v>2.8557907845579078E-3</v>
      </c>
      <c r="L14" s="22">
        <f t="shared" si="5"/>
        <v>5.711581569115816E-4</v>
      </c>
      <c r="M14" s="225">
        <f t="shared" si="6"/>
        <v>5.711581569115816E-4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58710.650024720424</v>
      </c>
      <c r="S14" s="222">
        <f>IF($B$81=0,0,(SUMIF($N$6:$N$28,$U14,L$6:L$28)+SUMIF($N$91:$N$118,$U14,L$91:L$118))*$I$83*Poor!$B$81/$B$81)</f>
        <v>36249.599999999999</v>
      </c>
      <c r="T14" s="222">
        <f>IF($B$81=0,0,(SUMIF($N$6:$N$28,$U14,M$6:M$28)+SUMIF($N$91:$N$118,$U14,M$91:M$118))*$I$83*Poor!$B$81/$B$81)</f>
        <v>36249.599999999999</v>
      </c>
      <c r="U14" s="223">
        <v>8</v>
      </c>
      <c r="V14" s="56"/>
      <c r="W14" s="110"/>
      <c r="X14" s="118"/>
      <c r="Y14" s="184">
        <f>M14*4</f>
        <v>2.2846326276463264E-3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2.2846326276463264E-3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5.711581569115816E-4</v>
      </c>
      <c r="AJ14" s="120">
        <f t="shared" si="14"/>
        <v>1.1423163138231632E-3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Other crop: pumpkin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0.2</v>
      </c>
      <c r="F15" s="22"/>
      <c r="H15" s="24">
        <f t="shared" si="1"/>
        <v>0.2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16145.428756798117</v>
      </c>
      <c r="S15" s="222">
        <f>IF($B$81=0,0,(SUMIF($N$6:$N$28,$U15,L$6:L$28)+SUMIF($N$91:$N$118,$U15,L$91:L$118))*$I$83*Poor!$B$81/$B$81)</f>
        <v>10560</v>
      </c>
      <c r="T15" s="222">
        <f>IF($B$81=0,0,(SUMIF($N$6:$N$28,$U15,M$6:M$28)+SUMIF($N$91:$N$118,$U15,M$91:M$118))*$I$83*Poor!$B$81/$B$81)</f>
        <v>10560</v>
      </c>
      <c r="U15" s="223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Spinach: no produced</v>
      </c>
      <c r="B16" s="101">
        <f>IF([1]Summ!$J1054="",0,[1]Summ!$J1054)</f>
        <v>2.0084682440846824E-3</v>
      </c>
      <c r="C16" s="102">
        <f>IF([1]Summ!$K1054="",0,[1]Summ!$K1054)</f>
        <v>0</v>
      </c>
      <c r="D16" s="24">
        <f t="shared" si="0"/>
        <v>2.0084682440846824E-3</v>
      </c>
      <c r="E16" s="75">
        <f>Middle!E16</f>
        <v>0.2</v>
      </c>
      <c r="F16" s="22"/>
      <c r="H16" s="24">
        <f t="shared" si="1"/>
        <v>0.2</v>
      </c>
      <c r="I16" s="22">
        <f t="shared" si="2"/>
        <v>4.0169364881693649E-4</v>
      </c>
      <c r="J16" s="24">
        <f>IF(I$32&lt;=1+I131,I16,B16*H16+J$33*(I16-B16*H16))</f>
        <v>4.0169364881693649E-4</v>
      </c>
      <c r="K16" s="22">
        <f t="shared" si="4"/>
        <v>2.0084682440846824E-3</v>
      </c>
      <c r="L16" s="22">
        <f t="shared" si="5"/>
        <v>4.0169364881693649E-4</v>
      </c>
      <c r="M16" s="224">
        <f t="shared" si="6"/>
        <v>4.0169364881693649E-4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4">
        <f t="shared" si="9"/>
        <v>1.606774595267746E-3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1.606774595267746E-3</v>
      </c>
      <c r="AH16" s="123">
        <f t="shared" si="12"/>
        <v>1</v>
      </c>
      <c r="AI16" s="184">
        <f t="shared" si="13"/>
        <v>4.0169364881693649E-4</v>
      </c>
      <c r="AJ16" s="120">
        <f t="shared" si="14"/>
        <v>0</v>
      </c>
      <c r="AK16" s="119">
        <f t="shared" si="15"/>
        <v>8.0338729763387298E-4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FISHING -- see worksheet Data 3</v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6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20548.727508652148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4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WILD FOODS -- see worksheet Data 3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>
        <v>6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1504.8728208852517</v>
      </c>
      <c r="S18" s="222">
        <f>IF($B$81=0,0,(SUMIF($N$6:$N$28,$U18,L$6:L$28)+SUMIF($N$91:$N$118,$U18,L$91:L$118))*$I$83*Poor!$B$81/$B$81)</f>
        <v>1624.0450734431054</v>
      </c>
      <c r="T18" s="222">
        <f>IF($B$81=0,0,(SUMIF($N$6:$N$28,$U18,M$6:M$28)+SUMIF($N$91:$N$118,$U18,M$91:M$118))*$I$83*Poor!$B$81/$B$81)</f>
        <v>1624.0450734431054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0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535267.73009438207</v>
      </c>
      <c r="S23" s="179">
        <f>SUM(S7:S22)</f>
        <v>233431.1133424913</v>
      </c>
      <c r="T23" s="179">
        <f>SUM(T7:T22)</f>
        <v>233498.31279194693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47494.887852133972</v>
      </c>
      <c r="S24" s="41">
        <f>IF($B$81=0,0,(SUM(($B$70*$H$70))+((1-$D$29)*$I$83))*Poor!$B$81/$B$81)</f>
        <v>47494.887852133972</v>
      </c>
      <c r="T24" s="41">
        <f>IF($B$81=0,0,(SUM(($B$70*$H$70))+((1-$D$29)*$I$83))*Poor!$B$81/$B$81)</f>
        <v>47494.887852133972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63918.914518800644</v>
      </c>
      <c r="S25" s="41">
        <f>IF($B$81=0,0,(SUM(($B$70*$H$70),($B$71*$H$71))+((1-$D$29)*$I$83))*Poor!$B$81/$B$81)</f>
        <v>63918.914518800644</v>
      </c>
      <c r="T25" s="41">
        <f>IF($B$81=0,0,(SUM(($B$70*$H$70),($B$71*$H$71))+((1-$D$29)*$I$83))*Poor!$B$81/$B$81)</f>
        <v>63918.914518800644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4.7619047619047616E-2</v>
      </c>
      <c r="C26" s="102">
        <f>IF([1]Summ!$K1064="",0,[1]Summ!$K1064)</f>
        <v>0</v>
      </c>
      <c r="D26" s="24">
        <f t="shared" si="0"/>
        <v>4.7619047619047616E-2</v>
      </c>
      <c r="E26" s="75">
        <f>Middle!E26</f>
        <v>1</v>
      </c>
      <c r="F26" s="22"/>
      <c r="H26" s="24">
        <f t="shared" si="1"/>
        <v>1</v>
      </c>
      <c r="I26" s="22">
        <f t="shared" si="2"/>
        <v>4.7619047619047616E-2</v>
      </c>
      <c r="J26" s="24">
        <f>IF(I$32&lt;=1+I131,I26,B26*H26+J$33*(I26-B26*H26))</f>
        <v>4.7619047619047616E-2</v>
      </c>
      <c r="K26" s="22">
        <f t="shared" si="4"/>
        <v>4.7619047619047616E-2</v>
      </c>
      <c r="L26" s="22">
        <f t="shared" si="5"/>
        <v>4.7619047619047616E-2</v>
      </c>
      <c r="M26" s="224">
        <f t="shared" si="6"/>
        <v>4.7619047619047616E-2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96656.83451880065</v>
      </c>
      <c r="S26" s="41">
        <f>IF($B$81=0,0,(SUM(($B$70*$H$70),($B$71*$H$71),($B$72*$H$72))+((1-$D$29)*$I$83))*Poor!$B$81/$B$81)</f>
        <v>96656.83451880065</v>
      </c>
      <c r="T26" s="41">
        <f>IF($B$81=0,0,(SUM(($B$70*$H$70),($B$71*$H$71),($B$72*$H$72))+((1-$D$29)*$I$83))*Poor!$B$81/$B$81)</f>
        <v>96656.83451880065</v>
      </c>
      <c r="U26" s="56"/>
      <c r="V26" s="56"/>
      <c r="W26" s="110"/>
      <c r="X26" s="118"/>
      <c r="Y26" s="184">
        <f t="shared" si="9"/>
        <v>0.19047619047619047</v>
      </c>
      <c r="Z26" s="156">
        <f>Poor!Z26</f>
        <v>0.25</v>
      </c>
      <c r="AA26" s="121">
        <f t="shared" si="16"/>
        <v>4.7619047619047616E-2</v>
      </c>
      <c r="AB26" s="156">
        <f>Poor!AB26</f>
        <v>0.25</v>
      </c>
      <c r="AC26" s="121">
        <f t="shared" si="7"/>
        <v>4.7619047619047616E-2</v>
      </c>
      <c r="AD26" s="156">
        <f>Poor!AD26</f>
        <v>0.25</v>
      </c>
      <c r="AE26" s="121">
        <f t="shared" si="8"/>
        <v>4.7619047619047616E-2</v>
      </c>
      <c r="AF26" s="122">
        <f t="shared" si="10"/>
        <v>0.25</v>
      </c>
      <c r="AG26" s="121">
        <f t="shared" si="11"/>
        <v>4.7619047619047616E-2</v>
      </c>
      <c r="AH26" s="123">
        <f t="shared" si="12"/>
        <v>1</v>
      </c>
      <c r="AI26" s="184">
        <f t="shared" si="13"/>
        <v>4.7619047619047616E-2</v>
      </c>
      <c r="AJ26" s="120">
        <f t="shared" si="14"/>
        <v>4.7619047619047616E-2</v>
      </c>
      <c r="AK26" s="119">
        <f t="shared" si="15"/>
        <v>4.7619047619047616E-2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5.9204376089663752E-2</v>
      </c>
      <c r="C27" s="102">
        <f>IF([1]Summ!$K1065="",0,[1]Summ!$K1065)</f>
        <v>-5.9204376089663752E-2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5.7580123951774288E-2</v>
      </c>
      <c r="K27" s="22">
        <f t="shared" si="4"/>
        <v>5.9204376089663752E-2</v>
      </c>
      <c r="L27" s="22">
        <f t="shared" si="5"/>
        <v>5.9204376089663752E-2</v>
      </c>
      <c r="M27" s="226">
        <f t="shared" si="6"/>
        <v>5.7580123951774288E-2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0.23032049580709715</v>
      </c>
      <c r="Z27" s="156">
        <f>Poor!Z27</f>
        <v>0.25</v>
      </c>
      <c r="AA27" s="121">
        <f t="shared" si="16"/>
        <v>5.7580123951774288E-2</v>
      </c>
      <c r="AB27" s="156">
        <f>Poor!AB27</f>
        <v>0.25</v>
      </c>
      <c r="AC27" s="121">
        <f t="shared" si="7"/>
        <v>5.7580123951774288E-2</v>
      </c>
      <c r="AD27" s="156">
        <f>Poor!AD27</f>
        <v>0.25</v>
      </c>
      <c r="AE27" s="121">
        <f t="shared" si="8"/>
        <v>5.7580123951774288E-2</v>
      </c>
      <c r="AF27" s="122">
        <f t="shared" si="10"/>
        <v>0.25</v>
      </c>
      <c r="AG27" s="121">
        <f t="shared" si="11"/>
        <v>5.7580123951774288E-2</v>
      </c>
      <c r="AH27" s="123">
        <f t="shared" si="12"/>
        <v>1</v>
      </c>
      <c r="AI27" s="184">
        <f t="shared" si="13"/>
        <v>5.7580123951774288E-2</v>
      </c>
      <c r="AJ27" s="120">
        <f t="shared" si="14"/>
        <v>5.7580123951774288E-2</v>
      </c>
      <c r="AK27" s="119">
        <f t="shared" si="15"/>
        <v>5.7580123951774288E-2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0.40922335878455784</v>
      </c>
      <c r="C29" s="102">
        <f>IF([1]Summ!$K1067="",0,[1]Summ!$K1067)</f>
        <v>-0.18425380941500422</v>
      </c>
      <c r="D29" s="24">
        <f t="shared" si="0"/>
        <v>0.22496954936955363</v>
      </c>
      <c r="E29" s="75">
        <f>Middle!E29</f>
        <v>1</v>
      </c>
      <c r="F29" s="22"/>
      <c r="H29" s="24">
        <f t="shared" si="1"/>
        <v>1</v>
      </c>
      <c r="I29" s="22">
        <f t="shared" si="2"/>
        <v>0.22496954936955363</v>
      </c>
      <c r="J29" s="24">
        <f>IF(I$32&lt;=1+I131,I29,B29*H29+J$33*(I29-B29*H29))</f>
        <v>0.40416841751799754</v>
      </c>
      <c r="K29" s="22">
        <f t="shared" si="4"/>
        <v>0.40922335878455784</v>
      </c>
      <c r="L29" s="22">
        <f t="shared" si="5"/>
        <v>0.40922335878455784</v>
      </c>
      <c r="M29" s="175">
        <f t="shared" si="6"/>
        <v>0.40416841751799754</v>
      </c>
      <c r="N29" s="229"/>
      <c r="P29" s="22"/>
      <c r="V29" s="56"/>
      <c r="W29" s="110"/>
      <c r="X29" s="118"/>
      <c r="Y29" s="184">
        <f t="shared" si="9"/>
        <v>1.6166736700719901</v>
      </c>
      <c r="Z29" s="156">
        <f>Poor!Z29</f>
        <v>0.25</v>
      </c>
      <c r="AA29" s="121">
        <f t="shared" si="16"/>
        <v>0.40416841751799754</v>
      </c>
      <c r="AB29" s="156">
        <f>Poor!AB29</f>
        <v>0.25</v>
      </c>
      <c r="AC29" s="121">
        <f t="shared" si="7"/>
        <v>0.40416841751799754</v>
      </c>
      <c r="AD29" s="156">
        <f>Poor!AD29</f>
        <v>0.25</v>
      </c>
      <c r="AE29" s="121">
        <f t="shared" si="8"/>
        <v>0.40416841751799754</v>
      </c>
      <c r="AF29" s="122">
        <f t="shared" si="10"/>
        <v>0.25</v>
      </c>
      <c r="AG29" s="121">
        <f t="shared" si="11"/>
        <v>0.40416841751799754</v>
      </c>
      <c r="AH29" s="123">
        <f t="shared" si="12"/>
        <v>1</v>
      </c>
      <c r="AI29" s="184">
        <f t="shared" si="13"/>
        <v>0.40416841751799754</v>
      </c>
      <c r="AJ29" s="120">
        <f t="shared" si="14"/>
        <v>0.40416841751799754</v>
      </c>
      <c r="AK29" s="119">
        <f t="shared" si="15"/>
        <v>0.40416841751799754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0.85667246226650062</v>
      </c>
      <c r="C30" s="65"/>
      <c r="D30" s="24">
        <f>(D119-B124)</f>
        <v>16.198199285273553</v>
      </c>
      <c r="E30" s="75">
        <f>Middle!E30</f>
        <v>1</v>
      </c>
      <c r="H30" s="96">
        <f>(E30*F$7/F$9)</f>
        <v>1</v>
      </c>
      <c r="I30" s="29">
        <f>IF(E30&gt;=1,I119-I124,MIN(I119-I124,B30*H30))</f>
        <v>6.2157659145519197</v>
      </c>
      <c r="J30" s="231">
        <f>IF(I$32&lt;=1,I30,1-SUM(J6:J29))</f>
        <v>0.45721006916824591</v>
      </c>
      <c r="K30" s="22">
        <f t="shared" si="4"/>
        <v>0.85667246226650062</v>
      </c>
      <c r="L30" s="22">
        <f>IF(L124=L119,0,IF(K30="",0,(L119-L124)/(B119-B124)*K30))</f>
        <v>0.32887062529098654</v>
      </c>
      <c r="M30" s="175">
        <f t="shared" si="6"/>
        <v>0.45721006916824591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4">
        <f>M30*4</f>
        <v>1.8288402766729837</v>
      </c>
      <c r="Z30" s="122">
        <f>IF($Y30=0,0,AA30/($Y$30))</f>
        <v>0.2348399972234978</v>
      </c>
      <c r="AA30" s="188">
        <f>IF(AA79*4/$I$83+SUM(AA6:AA29)&lt;1,AA79*4/$I$83,1-SUM(AA6:AA29))</f>
        <v>0.42948484549610444</v>
      </c>
      <c r="AB30" s="122">
        <f>IF($Y30=0,0,AC30/($Y$30))</f>
        <v>0.26064655544284898</v>
      </c>
      <c r="AC30" s="188">
        <f>IF(AC79*4/$I$83+SUM(AC6:AC29)&lt;1,AC79*4/$I$83,1-SUM(AC6:AC29))</f>
        <v>0.47668091856996009</v>
      </c>
      <c r="AD30" s="122">
        <f>IF($Y30=0,0,AE30/($Y$30))</f>
        <v>0.25307489999542604</v>
      </c>
      <c r="AE30" s="188">
        <f>IF(AE79*4/$I$83+SUM(AE6:AE29)&lt;1,AE79*4/$I$83,1-SUM(AE6:AE29))</f>
        <v>0.46283357012662263</v>
      </c>
      <c r="AF30" s="122">
        <f>IF($Y30=0,0,AG30/($Y$30))</f>
        <v>0.25143854733822713</v>
      </c>
      <c r="AG30" s="188">
        <f>IF(AG79*4/$I$83+SUM(AG6:AG29)&lt;1,AG79*4/$I$83,1-SUM(AG6:AG29))</f>
        <v>0.45984094248029639</v>
      </c>
      <c r="AH30" s="123">
        <f t="shared" si="12"/>
        <v>0.99999999999999989</v>
      </c>
      <c r="AI30" s="184">
        <f t="shared" si="13"/>
        <v>0.45721006916824591</v>
      </c>
      <c r="AJ30" s="120">
        <f t="shared" si="14"/>
        <v>0.45308288203303226</v>
      </c>
      <c r="AK30" s="119">
        <f t="shared" si="15"/>
        <v>0.46133725630345951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0.12171463875372679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1.525364117922908</v>
      </c>
      <c r="C32" s="29">
        <f>SUM(C6:C31)</f>
        <v>-0.23354585673754469</v>
      </c>
      <c r="D32" s="24">
        <f>SUM(D6:D30)</f>
        <v>16.633345084192417</v>
      </c>
      <c r="E32" s="2"/>
      <c r="F32" s="2"/>
      <c r="H32" s="17"/>
      <c r="I32" s="22">
        <f>SUM(I6:I30)</f>
        <v>6.5237049307559634</v>
      </c>
      <c r="J32" s="17"/>
      <c r="L32" s="22">
        <f>SUM(L6:L30)</f>
        <v>0.87828536124627321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2.743466353618134E-2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10000</v>
      </c>
      <c r="C37" s="104">
        <f>IF([1]Summ!$K1072="",0,[1]Summ!$K1072)</f>
        <v>2000</v>
      </c>
      <c r="D37" s="38">
        <f t="shared" ref="D37:D64" si="25">B37+C37</f>
        <v>12000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7080</v>
      </c>
      <c r="J37" s="38">
        <f>J91*I$83</f>
        <v>5932.3729029726937</v>
      </c>
      <c r="K37" s="40">
        <f t="shared" ref="K37:K52" si="28">(B37/B$65)</f>
        <v>4.6248762845593878E-2</v>
      </c>
      <c r="L37" s="22">
        <f t="shared" ref="L37:L52" si="29">(K37*H37)</f>
        <v>2.7286770078900388E-2</v>
      </c>
      <c r="M37" s="24">
        <f t="shared" ref="M37:M52" si="30">J37/B$65</f>
        <v>2.7436490750121143E-2</v>
      </c>
      <c r="N37" s="2"/>
      <c r="O37" s="2"/>
      <c r="P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5932.3729029726937</v>
      </c>
      <c r="AH37" s="123">
        <f>SUM(Z37,AB37,AD37,AF37)</f>
        <v>1</v>
      </c>
      <c r="AI37" s="112">
        <f>SUM(AA37,AC37,AE37,AG37)</f>
        <v>5932.3729029726937</v>
      </c>
      <c r="AJ37" s="148">
        <f>(AA37+AC37)</f>
        <v>0</v>
      </c>
      <c r="AK37" s="147">
        <f>(AE37+AG37)</f>
        <v>5932.3729029726937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1800</v>
      </c>
      <c r="C38" s="104">
        <f>IF([1]Summ!$K1073="",0,[1]Summ!$K1073)</f>
        <v>600</v>
      </c>
      <c r="D38" s="38">
        <f t="shared" si="25"/>
        <v>2400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1416</v>
      </c>
      <c r="J38" s="38">
        <f t="shared" ref="J38:J64" si="33">J92*I$83</f>
        <v>1071.7118708918081</v>
      </c>
      <c r="K38" s="40">
        <f t="shared" si="28"/>
        <v>8.3247773122068977E-3</v>
      </c>
      <c r="L38" s="22">
        <f t="shared" si="29"/>
        <v>4.9116186142020698E-3</v>
      </c>
      <c r="M38" s="24">
        <f t="shared" si="30"/>
        <v>4.9565348155682955E-3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1071.7118708918081</v>
      </c>
      <c r="AH38" s="123">
        <f t="shared" ref="AH38:AI58" si="35">SUM(Z38,AB38,AD38,AF38)</f>
        <v>1</v>
      </c>
      <c r="AI38" s="112">
        <f t="shared" si="35"/>
        <v>1071.7118708918081</v>
      </c>
      <c r="AJ38" s="148">
        <f t="shared" ref="AJ38:AJ64" si="36">(AA38+AC38)</f>
        <v>0</v>
      </c>
      <c r="AK38" s="147">
        <f t="shared" ref="AK38:AK64" si="37">(AE38+AG38)</f>
        <v>1071.7118708918081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Chicken/ duck sales: no. sold</v>
      </c>
      <c r="B39" s="104">
        <f>IF([1]Summ!$J1074="",0,[1]Summ!$J1074)</f>
        <v>0</v>
      </c>
      <c r="C39" s="104">
        <f>IF([1]Summ!$K1074="",0,[1]Summ!$K1074)</f>
        <v>0</v>
      </c>
      <c r="D39" s="38">
        <f t="shared" si="25"/>
        <v>0</v>
      </c>
      <c r="E39" s="75">
        <f>Middle!E39</f>
        <v>1</v>
      </c>
      <c r="F39" s="75">
        <f>Middle!F39</f>
        <v>1.18</v>
      </c>
      <c r="G39" s="22">
        <f t="shared" si="32"/>
        <v>1.65</v>
      </c>
      <c r="H39" s="24">
        <f t="shared" si="26"/>
        <v>1.18</v>
      </c>
      <c r="I39" s="39">
        <f t="shared" si="27"/>
        <v>0</v>
      </c>
      <c r="J39" s="38">
        <f t="shared" si="33"/>
        <v>0</v>
      </c>
      <c r="K39" s="40">
        <f t="shared" si="28"/>
        <v>0</v>
      </c>
      <c r="L39" s="22">
        <f t="shared" si="29"/>
        <v>0</v>
      </c>
      <c r="M39" s="24">
        <f t="shared" si="30"/>
        <v>0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0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0</v>
      </c>
      <c r="AJ39" s="148">
        <f t="shared" si="36"/>
        <v>0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Middle!E40</f>
        <v>0.3</v>
      </c>
      <c r="F40" s="75">
        <f>Middle!F40</f>
        <v>1.4</v>
      </c>
      <c r="G40" s="22">
        <f t="shared" si="32"/>
        <v>1.65</v>
      </c>
      <c r="H40" s="24">
        <f t="shared" si="26"/>
        <v>0.42</v>
      </c>
      <c r="I40" s="39">
        <f t="shared" si="27"/>
        <v>0</v>
      </c>
      <c r="J40" s="38">
        <f t="shared" si="33"/>
        <v>0</v>
      </c>
      <c r="K40" s="40">
        <f t="shared" si="28"/>
        <v>0</v>
      </c>
      <c r="L40" s="22">
        <f t="shared" si="29"/>
        <v>0</v>
      </c>
      <c r="M40" s="24">
        <f t="shared" si="30"/>
        <v>0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1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Beans: kg produced</v>
      </c>
      <c r="B41" s="104">
        <f>IF([1]Summ!$J1076="",0,[1]Summ!$J1076)</f>
        <v>1260</v>
      </c>
      <c r="C41" s="104">
        <f>IF([1]Summ!$K1076="",0,[1]Summ!$K1076)</f>
        <v>0</v>
      </c>
      <c r="D41" s="38">
        <f t="shared" si="25"/>
        <v>1260</v>
      </c>
      <c r="E41" s="75">
        <f>Middle!E41</f>
        <v>0.2</v>
      </c>
      <c r="F41" s="75">
        <f>Middle!F41</f>
        <v>1.4</v>
      </c>
      <c r="G41" s="22">
        <f t="shared" si="32"/>
        <v>1.65</v>
      </c>
      <c r="H41" s="24">
        <f t="shared" si="26"/>
        <v>0.27999999999999997</v>
      </c>
      <c r="I41" s="39">
        <f t="shared" si="27"/>
        <v>352.79999999999995</v>
      </c>
      <c r="J41" s="38">
        <f t="shared" si="33"/>
        <v>352.79999999999995</v>
      </c>
      <c r="K41" s="40">
        <f t="shared" si="28"/>
        <v>5.8273441185448293E-3</v>
      </c>
      <c r="L41" s="22">
        <f t="shared" si="29"/>
        <v>1.631656353192552E-3</v>
      </c>
      <c r="M41" s="24">
        <f t="shared" si="30"/>
        <v>1.6316563531925518E-3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352.79999999999995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352.79999999999995</v>
      </c>
      <c r="AJ41" s="148">
        <f t="shared" si="36"/>
        <v>352.79999999999995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Amadumbe: kg produced</v>
      </c>
      <c r="B42" s="104">
        <f>IF([1]Summ!$J1077="",0,[1]Summ!$J1077)</f>
        <v>162</v>
      </c>
      <c r="C42" s="104">
        <f>IF([1]Summ!$K1077="",0,[1]Summ!$K1077)</f>
        <v>-162</v>
      </c>
      <c r="D42" s="38">
        <f t="shared" si="25"/>
        <v>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0</v>
      </c>
      <c r="J42" s="38">
        <f t="shared" si="33"/>
        <v>44.115563661998806</v>
      </c>
      <c r="K42" s="40">
        <f t="shared" si="28"/>
        <v>7.4922995809862086E-4</v>
      </c>
      <c r="L42" s="22">
        <f t="shared" si="29"/>
        <v>2.0978438826761383E-4</v>
      </c>
      <c r="M42" s="24">
        <f t="shared" si="30"/>
        <v>2.040290241603482E-4</v>
      </c>
      <c r="N42" s="2"/>
      <c r="O42" s="2"/>
      <c r="P42" s="2"/>
      <c r="Q42" s="41"/>
      <c r="R42" s="41"/>
      <c r="S42" s="255"/>
      <c r="T42" s="255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11.028890915499701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22.057781830999403</v>
      </c>
      <c r="AF42" s="122">
        <f t="shared" si="31"/>
        <v>0.25</v>
      </c>
      <c r="AG42" s="147">
        <f t="shared" si="34"/>
        <v>11.028890915499701</v>
      </c>
      <c r="AH42" s="123">
        <f t="shared" si="35"/>
        <v>1</v>
      </c>
      <c r="AI42" s="112">
        <f t="shared" si="35"/>
        <v>44.115563661998806</v>
      </c>
      <c r="AJ42" s="148">
        <f t="shared" si="36"/>
        <v>11.028890915499701</v>
      </c>
      <c r="AK42" s="147">
        <f t="shared" si="37"/>
        <v>33.086672746499104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Potatoes: kg produced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0</v>
      </c>
      <c r="J43" s="38">
        <f t="shared" si="33"/>
        <v>0</v>
      </c>
      <c r="K43" s="40">
        <f t="shared" si="28"/>
        <v>0</v>
      </c>
      <c r="L43" s="22">
        <f t="shared" si="29"/>
        <v>0</v>
      </c>
      <c r="M43" s="24">
        <f t="shared" si="30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0</v>
      </c>
      <c r="AB43" s="156">
        <f>Poor!AB43</f>
        <v>0.25</v>
      </c>
      <c r="AC43" s="147">
        <f t="shared" si="39"/>
        <v>0</v>
      </c>
      <c r="AD43" s="156">
        <f>Poor!AD43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Sweet Potatoes: kg produced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0.2</v>
      </c>
      <c r="F44" s="75">
        <f>Middle!F44</f>
        <v>1.4</v>
      </c>
      <c r="G44" s="22">
        <f t="shared" si="32"/>
        <v>1.65</v>
      </c>
      <c r="H44" s="24">
        <f t="shared" si="26"/>
        <v>0.27999999999999997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Other crop: Cabbage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0.2</v>
      </c>
      <c r="F45" s="75">
        <f>Middle!F45</f>
        <v>1.4</v>
      </c>
      <c r="G45" s="22">
        <f t="shared" si="32"/>
        <v>1.65</v>
      </c>
      <c r="H45" s="24">
        <f t="shared" si="26"/>
        <v>0.27999999999999997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56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Other crop: Spinach: no produced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0.2</v>
      </c>
      <c r="F46" s="75">
        <f>Middle!F46</f>
        <v>1.4</v>
      </c>
      <c r="G46" s="22">
        <f t="shared" si="32"/>
        <v>1.65</v>
      </c>
      <c r="H46" s="24">
        <f t="shared" si="26"/>
        <v>0.27999999999999997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Other cashcrop: sugar cane (tons)</v>
      </c>
      <c r="B47" s="104">
        <f>IF([1]Summ!$J1082="",0,[1]Summ!$J1082)</f>
        <v>20000</v>
      </c>
      <c r="C47" s="104">
        <f>IF([1]Summ!$K1082="",0,[1]Summ!$K1082)</f>
        <v>0</v>
      </c>
      <c r="D47" s="38">
        <f t="shared" si="25"/>
        <v>20000</v>
      </c>
      <c r="E47" s="75">
        <f>Middle!E47</f>
        <v>0.2</v>
      </c>
      <c r="F47" s="75">
        <f>Middle!F47</f>
        <v>1.4</v>
      </c>
      <c r="G47" s="22">
        <f t="shared" si="32"/>
        <v>1.65</v>
      </c>
      <c r="H47" s="24">
        <f t="shared" si="26"/>
        <v>0.27999999999999997</v>
      </c>
      <c r="I47" s="39">
        <f t="shared" si="27"/>
        <v>5599.9999999999991</v>
      </c>
      <c r="J47" s="38">
        <f t="shared" si="33"/>
        <v>5599.9999999999982</v>
      </c>
      <c r="K47" s="40">
        <f t="shared" si="28"/>
        <v>9.2497525691187757E-2</v>
      </c>
      <c r="L47" s="22">
        <f t="shared" si="29"/>
        <v>2.5899307193532568E-2</v>
      </c>
      <c r="M47" s="24">
        <f t="shared" si="30"/>
        <v>2.5899307193532565E-2</v>
      </c>
      <c r="N47" s="2"/>
      <c r="O47" s="2"/>
      <c r="P47" s="2"/>
      <c r="R47" s="244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1399.9999999999995</v>
      </c>
      <c r="AB47" s="156">
        <f>Poor!AB47</f>
        <v>0.25</v>
      </c>
      <c r="AC47" s="147">
        <f t="shared" si="39"/>
        <v>1399.9999999999995</v>
      </c>
      <c r="AD47" s="156">
        <f>Poor!AD47</f>
        <v>0.25</v>
      </c>
      <c r="AE47" s="147">
        <f t="shared" si="40"/>
        <v>1399.9999999999995</v>
      </c>
      <c r="AF47" s="122">
        <f t="shared" si="31"/>
        <v>0.25</v>
      </c>
      <c r="AG47" s="147">
        <f t="shared" si="34"/>
        <v>1399.9999999999995</v>
      </c>
      <c r="AH47" s="123">
        <f t="shared" si="35"/>
        <v>1</v>
      </c>
      <c r="AI47" s="112">
        <f t="shared" si="35"/>
        <v>5599.9999999999982</v>
      </c>
      <c r="AJ47" s="148">
        <f t="shared" si="36"/>
        <v>2799.9999999999991</v>
      </c>
      <c r="AK47" s="147">
        <f t="shared" si="37"/>
        <v>2799.9999999999991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Agricultural cash income -- see Data2</v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0.5</v>
      </c>
      <c r="F48" s="75">
        <f>Middle!F48</f>
        <v>1.1100000000000001</v>
      </c>
      <c r="G48" s="22">
        <f t="shared" si="32"/>
        <v>1.65</v>
      </c>
      <c r="H48" s="24">
        <f t="shared" si="26"/>
        <v>0.55500000000000005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6"/>
      <c r="R48" s="253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Domestic work cash income -- see Data2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0.5</v>
      </c>
      <c r="F49" s="75">
        <f>Middle!F49</f>
        <v>1.1100000000000001</v>
      </c>
      <c r="G49" s="22">
        <f t="shared" si="32"/>
        <v>1.65</v>
      </c>
      <c r="H49" s="24">
        <f t="shared" si="26"/>
        <v>0.55500000000000005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Q49" s="256"/>
      <c r="R49" s="253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Formal Employment (conservancies, etc.)</v>
      </c>
      <c r="B50" s="104">
        <f>IF([1]Summ!$J1085="",0,[1]Summ!$J1085)</f>
        <v>144000</v>
      </c>
      <c r="C50" s="104">
        <f>IF([1]Summ!$K1085="",0,[1]Summ!$K1085)</f>
        <v>0</v>
      </c>
      <c r="D50" s="38">
        <f t="shared" si="25"/>
        <v>144000</v>
      </c>
      <c r="E50" s="75">
        <f>Middle!E50</f>
        <v>0.6</v>
      </c>
      <c r="F50" s="75">
        <f>Middle!F50</f>
        <v>1.18</v>
      </c>
      <c r="G50" s="22">
        <f t="shared" si="32"/>
        <v>1.65</v>
      </c>
      <c r="H50" s="24">
        <f t="shared" si="26"/>
        <v>0.70799999999999996</v>
      </c>
      <c r="I50" s="39">
        <f t="shared" si="27"/>
        <v>101952</v>
      </c>
      <c r="J50" s="38">
        <f t="shared" si="33"/>
        <v>101951.99999999999</v>
      </c>
      <c r="K50" s="40">
        <f t="shared" si="28"/>
        <v>0.66598218497655193</v>
      </c>
      <c r="L50" s="22">
        <f t="shared" si="29"/>
        <v>0.47151538696339873</v>
      </c>
      <c r="M50" s="24">
        <f t="shared" si="30"/>
        <v>0.47151538696339867</v>
      </c>
      <c r="N50" s="2"/>
      <c r="O50" s="2"/>
      <c r="P50" s="2"/>
      <c r="Q50" s="256"/>
      <c r="R50" s="253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25487.999999999996</v>
      </c>
      <c r="AB50" s="156">
        <f>Poor!AB55</f>
        <v>0.25</v>
      </c>
      <c r="AC50" s="147">
        <f t="shared" si="39"/>
        <v>25487.999999999996</v>
      </c>
      <c r="AD50" s="156">
        <f>Poor!AD55</f>
        <v>0.25</v>
      </c>
      <c r="AE50" s="147">
        <f t="shared" si="40"/>
        <v>25487.999999999996</v>
      </c>
      <c r="AF50" s="122">
        <f t="shared" si="31"/>
        <v>0.25</v>
      </c>
      <c r="AG50" s="147">
        <f t="shared" si="34"/>
        <v>25487.999999999996</v>
      </c>
      <c r="AH50" s="123">
        <f t="shared" si="35"/>
        <v>1</v>
      </c>
      <c r="AI50" s="112">
        <f t="shared" si="35"/>
        <v>101951.99999999999</v>
      </c>
      <c r="AJ50" s="148">
        <f t="shared" si="36"/>
        <v>50975.999999999993</v>
      </c>
      <c r="AK50" s="147">
        <f t="shared" si="37"/>
        <v>50975.999999999993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Small business -- see Data2</v>
      </c>
      <c r="B51" s="104">
        <f>IF([1]Summ!$J1086="",0,[1]Summ!$J1086)</f>
        <v>24000</v>
      </c>
      <c r="C51" s="104">
        <f>IF([1]Summ!$K1086="",0,[1]Summ!$K1086)</f>
        <v>0</v>
      </c>
      <c r="D51" s="38">
        <f t="shared" si="25"/>
        <v>24000</v>
      </c>
      <c r="E51" s="75">
        <f>Middle!E51</f>
        <v>0.8</v>
      </c>
      <c r="F51" s="75">
        <f>Middle!F51</f>
        <v>1.18</v>
      </c>
      <c r="G51" s="22">
        <f t="shared" si="32"/>
        <v>1.65</v>
      </c>
      <c r="H51" s="24">
        <f t="shared" si="26"/>
        <v>0.94399999999999995</v>
      </c>
      <c r="I51" s="39">
        <f t="shared" si="27"/>
        <v>22656</v>
      </c>
      <c r="J51" s="38">
        <f t="shared" si="33"/>
        <v>22656</v>
      </c>
      <c r="K51" s="40">
        <f t="shared" si="28"/>
        <v>0.11099703082942532</v>
      </c>
      <c r="L51" s="22">
        <f t="shared" si="29"/>
        <v>0.10478119710297749</v>
      </c>
      <c r="M51" s="24">
        <f t="shared" si="30"/>
        <v>0.10478119710297749</v>
      </c>
      <c r="N51" s="2"/>
      <c r="O51" s="2"/>
      <c r="P51" s="2"/>
      <c r="Q51" s="256"/>
      <c r="R51" s="253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5664</v>
      </c>
      <c r="AB51" s="156">
        <f>Poor!AB56</f>
        <v>0.25</v>
      </c>
      <c r="AC51" s="147">
        <f t="shared" si="39"/>
        <v>5664</v>
      </c>
      <c r="AD51" s="156">
        <f>Poor!AD56</f>
        <v>0.25</v>
      </c>
      <c r="AE51" s="147">
        <f t="shared" si="40"/>
        <v>5664</v>
      </c>
      <c r="AF51" s="122">
        <f t="shared" si="31"/>
        <v>0.25</v>
      </c>
      <c r="AG51" s="147">
        <f t="shared" si="34"/>
        <v>5664</v>
      </c>
      <c r="AH51" s="123">
        <f t="shared" si="35"/>
        <v>1</v>
      </c>
      <c r="AI51" s="112">
        <f t="shared" si="35"/>
        <v>22656</v>
      </c>
      <c r="AJ51" s="148">
        <f t="shared" si="36"/>
        <v>11328</v>
      </c>
      <c r="AK51" s="147">
        <f t="shared" si="37"/>
        <v>11328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Social development -- see Data2</v>
      </c>
      <c r="B52" s="104">
        <f>IF([1]Summ!$J1087="",0,[1]Summ!$J1087)</f>
        <v>8400</v>
      </c>
      <c r="C52" s="104">
        <f>IF([1]Summ!$K1087="",0,[1]Summ!$K1087)</f>
        <v>0</v>
      </c>
      <c r="D52" s="38">
        <f t="shared" si="25"/>
        <v>8400</v>
      </c>
      <c r="E52" s="75">
        <f>Middle!E52</f>
        <v>0</v>
      </c>
      <c r="F52" s="75">
        <f>Middle!F52</f>
        <v>1.18</v>
      </c>
      <c r="G52" s="22">
        <f t="shared" si="32"/>
        <v>1.65</v>
      </c>
      <c r="H52" s="24">
        <f t="shared" si="26"/>
        <v>0</v>
      </c>
      <c r="I52" s="39">
        <f t="shared" si="27"/>
        <v>0</v>
      </c>
      <c r="J52" s="38">
        <f t="shared" si="33"/>
        <v>0</v>
      </c>
      <c r="K52" s="40">
        <f t="shared" si="28"/>
        <v>3.8848960790298863E-2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Public works -- see Data2</v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1.18</v>
      </c>
      <c r="G53" s="22">
        <f t="shared" si="32"/>
        <v>1.65</v>
      </c>
      <c r="H53" s="24">
        <f t="shared" ref="H53:H64" si="41">(E53*F53)</f>
        <v>1.18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Gifts/social support: type</v>
      </c>
      <c r="B54" s="104">
        <f>IF([1]Summ!$J1089="",0,[1]Summ!$J1089)</f>
        <v>6600</v>
      </c>
      <c r="C54" s="104">
        <f>IF([1]Summ!$K1089="",0,[1]Summ!$K1089)</f>
        <v>0</v>
      </c>
      <c r="D54" s="38">
        <f t="shared" si="25"/>
        <v>6600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6600</v>
      </c>
      <c r="J54" s="38">
        <f t="shared" si="33"/>
        <v>6600</v>
      </c>
      <c r="K54" s="40">
        <f t="shared" si="43"/>
        <v>3.0524183478091962E-2</v>
      </c>
      <c r="L54" s="22">
        <f t="shared" si="44"/>
        <v>3.0524183478091962E-2</v>
      </c>
      <c r="M54" s="24">
        <f t="shared" si="45"/>
        <v>3.0524183478091962E-2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Other income: e.g. Credit (cotton loans)</v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Remittances: no. times per year</v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1.1100000000000001</v>
      </c>
      <c r="G56" s="22">
        <f t="shared" si="32"/>
        <v>1.65</v>
      </c>
      <c r="H56" s="24">
        <f t="shared" si="41"/>
        <v>1.1100000000000001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216222</v>
      </c>
      <c r="C65" s="39">
        <f>SUM(C37:C64)</f>
        <v>2438</v>
      </c>
      <c r="D65" s="42">
        <f>SUM(D37:D64)</f>
        <v>218660</v>
      </c>
      <c r="E65" s="32"/>
      <c r="F65" s="32"/>
      <c r="G65" s="32"/>
      <c r="H65" s="31"/>
      <c r="I65" s="39">
        <f>SUM(I37:I64)</f>
        <v>145656.79999999999</v>
      </c>
      <c r="J65" s="39">
        <f>SUM(J37:J64)</f>
        <v>144209.00033752649</v>
      </c>
      <c r="K65" s="40">
        <f>SUM(K37:K64)</f>
        <v>1.0000000000000002</v>
      </c>
      <c r="L65" s="22">
        <f>SUM(L37:L64)</f>
        <v>0.66675990417256337</v>
      </c>
      <c r="M65" s="24">
        <f>SUM(M37:M64)</f>
        <v>0.66694878568104299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32915.828890915494</v>
      </c>
      <c r="AB65" s="137"/>
      <c r="AC65" s="153">
        <f>SUM(AC37:AC64)</f>
        <v>32551.999999999996</v>
      </c>
      <c r="AD65" s="137"/>
      <c r="AE65" s="153">
        <f>SUM(AE37:AE64)</f>
        <v>32574.057781830994</v>
      </c>
      <c r="AF65" s="137"/>
      <c r="AG65" s="153">
        <f>SUM(AG37:AG64)</f>
        <v>39567.113664780001</v>
      </c>
      <c r="AH65" s="137"/>
      <c r="AI65" s="153">
        <f>SUM(AI37:AI64)</f>
        <v>137609.00033752649</v>
      </c>
      <c r="AJ65" s="153">
        <f>SUM(AJ37:AJ64)</f>
        <v>65467.828890915494</v>
      </c>
      <c r="AK65" s="153">
        <f>SUM(AK37:AK64)</f>
        <v>72141.171446610999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9402.9088235374475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13164.072352952426</v>
      </c>
      <c r="J70" s="51">
        <f>J124*I$83</f>
        <v>13164.072352952426</v>
      </c>
      <c r="K70" s="40">
        <f>B70/B$76</f>
        <v>4.3487290023852557E-2</v>
      </c>
      <c r="L70" s="22">
        <f>(L124*G$37*F$9/F$7)/B$130</f>
        <v>6.0882206033393581E-2</v>
      </c>
      <c r="M70" s="24">
        <f>J70/B$76</f>
        <v>6.0882206033393574E-2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3291.0180882381064</v>
      </c>
      <c r="AB70" s="156">
        <f>Poor!AB70</f>
        <v>0.25</v>
      </c>
      <c r="AC70" s="147">
        <f>$J70*AB70</f>
        <v>3291.0180882381064</v>
      </c>
      <c r="AD70" s="156">
        <f>Poor!AD70</f>
        <v>0.25</v>
      </c>
      <c r="AE70" s="147">
        <f>$J70*AD70</f>
        <v>3291.0180882381064</v>
      </c>
      <c r="AF70" s="156">
        <f>Poor!AF70</f>
        <v>0.25</v>
      </c>
      <c r="AG70" s="147">
        <f>$J70*AF70</f>
        <v>3291.0180882381064</v>
      </c>
      <c r="AH70" s="155">
        <f>SUM(Z70,AB70,AD70,AF70)</f>
        <v>1</v>
      </c>
      <c r="AI70" s="147">
        <f>SUM(AA70,AC70,AE70,AG70)</f>
        <v>13164.072352952426</v>
      </c>
      <c r="AJ70" s="148">
        <f>(AA70+AC70)</f>
        <v>6582.0361764762129</v>
      </c>
      <c r="AK70" s="147">
        <f>(AE70+AG70)</f>
        <v>6582.0361764762129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8699.1666666666679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10265.016666666666</v>
      </c>
      <c r="J71" s="51">
        <f t="shared" ref="J71:J72" si="49">J125*I$83</f>
        <v>10265.016666666666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17340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20461.2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21837.5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25768.25</v>
      </c>
      <c r="K73" s="40">
        <f>B73/B$76</f>
        <v>0.10099573586406564</v>
      </c>
      <c r="L73" s="22">
        <f>(L127*G$37*F$9/F$7)/B$130</f>
        <v>0.11917496831959747</v>
      </c>
      <c r="M73" s="24">
        <f>J73/B$76</f>
        <v>0.11917496831959745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2319.1424999999999</v>
      </c>
      <c r="AB73" s="156">
        <f>Poor!AB73</f>
        <v>0.09</v>
      </c>
      <c r="AC73" s="147">
        <f>$H$73*$B$73*AB73</f>
        <v>2319.1424999999999</v>
      </c>
      <c r="AD73" s="156">
        <f>Poor!AD73</f>
        <v>0.23</v>
      </c>
      <c r="AE73" s="147">
        <f>$H$73*$B$73*AD73</f>
        <v>5926.6975000000002</v>
      </c>
      <c r="AF73" s="156">
        <f>Poor!AF73</f>
        <v>0.59</v>
      </c>
      <c r="AG73" s="147">
        <f>$H$73*$B$73*AF73</f>
        <v>15203.2675</v>
      </c>
      <c r="AH73" s="155">
        <f>SUM(Z73,AB73,AD73,AF73)</f>
        <v>1</v>
      </c>
      <c r="AI73" s="147">
        <f>SUM(AA73,AC73,AE73,AG73)</f>
        <v>25768.25</v>
      </c>
      <c r="AJ73" s="148">
        <f>(AA73+AC73)</f>
        <v>4638.2849999999999</v>
      </c>
      <c r="AK73" s="147">
        <f>(AE73+AG73)</f>
        <v>21129.965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11066.957776463631</v>
      </c>
      <c r="C74" s="39"/>
      <c r="D74" s="38"/>
      <c r="E74" s="32"/>
      <c r="F74" s="32"/>
      <c r="G74" s="32"/>
      <c r="H74" s="31"/>
      <c r="I74" s="39">
        <f>I128*I$83</f>
        <v>132492.72764704758</v>
      </c>
      <c r="J74" s="51">
        <f>J128*I$83</f>
        <v>9745.7031047416858</v>
      </c>
      <c r="K74" s="40">
        <f>B74/B$76</f>
        <v>5.1183310562586744E-2</v>
      </c>
      <c r="L74" s="22">
        <f>(L128*G$37*F$9/F$7)/B$130</f>
        <v>3.2420715442009786E-2</v>
      </c>
      <c r="M74" s="24">
        <f>J74/B$76</f>
        <v>4.507267116547662E-2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2288.6808900585711</v>
      </c>
      <c r="AB74" s="156"/>
      <c r="AC74" s="147">
        <f>AC30*$I$83/4</f>
        <v>2540.1839446195991</v>
      </c>
      <c r="AD74" s="156"/>
      <c r="AE74" s="147">
        <f>AE30*$I$83/4</f>
        <v>2466.3928386176149</v>
      </c>
      <c r="AF74" s="156"/>
      <c r="AG74" s="147">
        <f>AG30*$I$83/4</f>
        <v>2450.4454314458994</v>
      </c>
      <c r="AH74" s="155"/>
      <c r="AI74" s="147">
        <f>SUM(AA74,AC74,AE74,AG74)</f>
        <v>9745.703104741684</v>
      </c>
      <c r="AJ74" s="148">
        <f>(AA74+AC74)</f>
        <v>4828.8648346781702</v>
      </c>
      <c r="AK74" s="147">
        <f>(AE74+AG74)</f>
        <v>4916.8382700635138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147875.46673333223</v>
      </c>
      <c r="C75" s="39"/>
      <c r="D75" s="38"/>
      <c r="E75" s="32"/>
      <c r="F75" s="32"/>
      <c r="G75" s="32"/>
      <c r="H75" s="31"/>
      <c r="I75" s="47"/>
      <c r="J75" s="51">
        <f>J129*I$83</f>
        <v>64804.758213165704</v>
      </c>
      <c r="K75" s="40">
        <f>B75/B$76</f>
        <v>0.6839057391631389</v>
      </c>
      <c r="L75" s="22">
        <f>(L129*G$37*F$9/F$7)/B$130</f>
        <v>0.31217706360166236</v>
      </c>
      <c r="M75" s="24">
        <f>J75/B$76</f>
        <v>0.29971398938667526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27336.129912618817</v>
      </c>
      <c r="AB75" s="158"/>
      <c r="AC75" s="149">
        <f>AA75+AC65-SUM(AC70,AC74)</f>
        <v>54056.927879761104</v>
      </c>
      <c r="AD75" s="158"/>
      <c r="AE75" s="149">
        <f>AC75+AE65-SUM(AE70,AE74)</f>
        <v>80873.574734736379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114699.22487983239</v>
      </c>
      <c r="AJ75" s="151">
        <f>AJ76-SUM(AJ70,AJ74)</f>
        <v>54056.927879761111</v>
      </c>
      <c r="AK75" s="149">
        <f>AJ75+AK76-SUM(AK70,AK74)</f>
        <v>114699.22487983239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216222</v>
      </c>
      <c r="C76" s="39"/>
      <c r="D76" s="38"/>
      <c r="E76" s="32"/>
      <c r="F76" s="32"/>
      <c r="G76" s="32"/>
      <c r="H76" s="31"/>
      <c r="I76" s="39">
        <f>I130*I$83</f>
        <v>145656.79999999999</v>
      </c>
      <c r="J76" s="51">
        <f>J130*I$83</f>
        <v>144209.00033752649</v>
      </c>
      <c r="K76" s="40">
        <f>SUM(K70:K75)</f>
        <v>0.87957207561364381</v>
      </c>
      <c r="L76" s="22">
        <f>SUM(L70:L75)</f>
        <v>0.52465495339666313</v>
      </c>
      <c r="M76" s="24">
        <f>SUM(M70:M75)</f>
        <v>0.52484383490514286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32915.828890915494</v>
      </c>
      <c r="AB76" s="137"/>
      <c r="AC76" s="153">
        <f>AC65</f>
        <v>32551.999999999996</v>
      </c>
      <c r="AD76" s="137"/>
      <c r="AE76" s="153">
        <f>AE65</f>
        <v>32574.057781830994</v>
      </c>
      <c r="AF76" s="137"/>
      <c r="AG76" s="153">
        <f>AG65</f>
        <v>39567.113664780001</v>
      </c>
      <c r="AH76" s="137"/>
      <c r="AI76" s="153">
        <f>SUM(AA76,AC76,AE76,AG76)</f>
        <v>137609.00033752649</v>
      </c>
      <c r="AJ76" s="154">
        <f>SUM(AA76,AC76)</f>
        <v>65467.828890915494</v>
      </c>
      <c r="AK76" s="154">
        <f>SUM(AE76,AG76)</f>
        <v>72141.171446610999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10265.016666666681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27336.129912618817</v>
      </c>
      <c r="AD78" s="112"/>
      <c r="AE78" s="112">
        <f>AC75</f>
        <v>54056.927879761104</v>
      </c>
      <c r="AF78" s="112"/>
      <c r="AG78" s="112">
        <f>AE75</f>
        <v>80873.574734736379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29624.810802677388</v>
      </c>
      <c r="AB79" s="112"/>
      <c r="AC79" s="112">
        <f>AA79-AA74+AC65-AC70</f>
        <v>56597.1118243807</v>
      </c>
      <c r="AD79" s="112"/>
      <c r="AE79" s="112">
        <f>AC79-AC74+AE65-AE70</f>
        <v>83339.967573353992</v>
      </c>
      <c r="AF79" s="112"/>
      <c r="AG79" s="112">
        <f>AE79-AE74+AG65-AG70</f>
        <v>117149.67031127827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0.68362752198526333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10.354545454545455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12918.540356933794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21315.591588940759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5328.8978972351897</v>
      </c>
      <c r="AB83" s="112"/>
      <c r="AC83" s="165">
        <f>$I$83*AB82/4</f>
        <v>5328.8978972351897</v>
      </c>
      <c r="AD83" s="112"/>
      <c r="AE83" s="165">
        <f>$I$83*AD82/4</f>
        <v>5328.8978972351897</v>
      </c>
      <c r="AF83" s="112"/>
      <c r="AG83" s="165">
        <f>$I$83*AF82/4</f>
        <v>5328.8978972351897</v>
      </c>
      <c r="AH83" s="165">
        <f>SUM(AA83,AC83,AE83,AG83)</f>
        <v>21315.591588940759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19415.170977859452</v>
      </c>
      <c r="C84" s="46"/>
      <c r="D84" s="235"/>
      <c r="E84" s="64"/>
      <c r="F84" s="64"/>
      <c r="G84" s="64"/>
      <c r="H84" s="236">
        <f>IF(B84=0,0,I84/B84)</f>
        <v>1.5289231777270944</v>
      </c>
      <c r="I84" s="234">
        <f>(B70*H70)+((1-(D29*H29))*I83)</f>
        <v>29684.304907583733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0.77408126024335866</v>
      </c>
      <c r="C91" s="75">
        <f>(C37/$B$83)</f>
        <v>0.15481625204867175</v>
      </c>
      <c r="D91" s="24">
        <f t="shared" ref="D91" si="51">(B91+C91)</f>
        <v>0.92889751229203044</v>
      </c>
      <c r="H91" s="24">
        <f>(E37*F37/G37*F$7/F$9)</f>
        <v>0.3575757575757576</v>
      </c>
      <c r="I91" s="22">
        <f t="shared" ref="I91" si="52">(D91*H91)</f>
        <v>0.33215123166805938</v>
      </c>
      <c r="J91" s="24">
        <f>IF(I$32&lt;=1+I$131,I91,L91+J$33*(I91-L91))</f>
        <v>0.27831143593737306</v>
      </c>
      <c r="K91" s="22">
        <f t="shared" ref="K91" si="53">(B91)</f>
        <v>0.77408126024335866</v>
      </c>
      <c r="L91" s="22">
        <f t="shared" ref="L91" si="54">(K91*H91)</f>
        <v>0.27679269305671617</v>
      </c>
      <c r="M91" s="227">
        <f t="shared" si="50"/>
        <v>0.27831143593737306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0.13933462684380457</v>
      </c>
      <c r="C92" s="75">
        <f t="shared" si="56"/>
        <v>4.6444875614601519E-2</v>
      </c>
      <c r="D92" s="24">
        <f t="shared" ref="D92:D118" si="57">(B92+C92)</f>
        <v>0.18577950245840608</v>
      </c>
      <c r="H92" s="24">
        <f t="shared" ref="H92:H118" si="58">(E38*F38/G38*F$7/F$9)</f>
        <v>0.3575757575757576</v>
      </c>
      <c r="I92" s="22">
        <f t="shared" ref="I92:I118" si="59">(D92*H92)</f>
        <v>6.6430246333611873E-2</v>
      </c>
      <c r="J92" s="24">
        <f t="shared" ref="J92:J118" si="60">IF(I$32&lt;=1+I$131,I92,L92+J$33*(I92-L92))</f>
        <v>5.0278307614405979E-2</v>
      </c>
      <c r="K92" s="22">
        <f t="shared" ref="K92:K118" si="61">(B92)</f>
        <v>0.13933462684380457</v>
      </c>
      <c r="L92" s="22">
        <f t="shared" ref="L92:L118" si="62">(K92*H92)</f>
        <v>4.9822684750208908E-2</v>
      </c>
      <c r="M92" s="227">
        <f t="shared" ref="M92:M118" si="63">(J92)</f>
        <v>5.0278307614405979E-2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Chicken/ duck sales: no. sold</v>
      </c>
      <c r="B93" s="75">
        <f t="shared" ref="B93:C93" si="64">(B39/$B$83)</f>
        <v>0</v>
      </c>
      <c r="C93" s="75">
        <f t="shared" si="64"/>
        <v>0</v>
      </c>
      <c r="D93" s="24">
        <f t="shared" si="57"/>
        <v>0</v>
      </c>
      <c r="H93" s="24">
        <f t="shared" si="58"/>
        <v>0.7151515151515152</v>
      </c>
      <c r="I93" s="22">
        <f t="shared" si="59"/>
        <v>0</v>
      </c>
      <c r="J93" s="24">
        <f t="shared" si="60"/>
        <v>0</v>
      </c>
      <c r="K93" s="22">
        <f t="shared" si="61"/>
        <v>0</v>
      </c>
      <c r="L93" s="22">
        <f t="shared" si="62"/>
        <v>0</v>
      </c>
      <c r="M93" s="227">
        <f t="shared" si="63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0</v>
      </c>
      <c r="C94" s="75">
        <f t="shared" si="65"/>
        <v>0</v>
      </c>
      <c r="D94" s="24">
        <f t="shared" si="57"/>
        <v>0</v>
      </c>
      <c r="H94" s="24">
        <f t="shared" si="58"/>
        <v>0.25454545454545457</v>
      </c>
      <c r="I94" s="22">
        <f t="shared" si="59"/>
        <v>0</v>
      </c>
      <c r="J94" s="24">
        <f t="shared" si="60"/>
        <v>0</v>
      </c>
      <c r="K94" s="22">
        <f t="shared" si="61"/>
        <v>0</v>
      </c>
      <c r="L94" s="22">
        <f t="shared" si="62"/>
        <v>0</v>
      </c>
      <c r="M94" s="227">
        <f t="shared" si="63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ref="B95:C95" si="66">(B41/$B$83)</f>
        <v>9.7534238790663197E-2</v>
      </c>
      <c r="C95" s="75">
        <f t="shared" si="66"/>
        <v>0</v>
      </c>
      <c r="D95" s="24">
        <f t="shared" si="57"/>
        <v>9.7534238790663197E-2</v>
      </c>
      <c r="H95" s="24">
        <f t="shared" si="58"/>
        <v>0.16969696969696968</v>
      </c>
      <c r="I95" s="22">
        <f t="shared" si="59"/>
        <v>1.6551264764476176E-2</v>
      </c>
      <c r="J95" s="24">
        <f t="shared" si="60"/>
        <v>1.6551264764476176E-2</v>
      </c>
      <c r="K95" s="22">
        <f t="shared" si="61"/>
        <v>9.7534238790663197E-2</v>
      </c>
      <c r="L95" s="22">
        <f t="shared" si="62"/>
        <v>1.6551264764476176E-2</v>
      </c>
      <c r="M95" s="227">
        <f t="shared" si="63"/>
        <v>1.6551264764476176E-2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Amadumbe: kg produced</v>
      </c>
      <c r="B96" s="75">
        <f t="shared" ref="B96:C96" si="67">(B42/$B$83)</f>
        <v>1.2540116415942411E-2</v>
      </c>
      <c r="C96" s="75">
        <f t="shared" si="67"/>
        <v>-1.2540116415942411E-2</v>
      </c>
      <c r="D96" s="24">
        <f t="shared" si="57"/>
        <v>0</v>
      </c>
      <c r="H96" s="24">
        <f t="shared" si="58"/>
        <v>0.16969696969696968</v>
      </c>
      <c r="I96" s="22">
        <f t="shared" si="59"/>
        <v>0</v>
      </c>
      <c r="J96" s="24">
        <f t="shared" si="60"/>
        <v>2.0696382494440097E-3</v>
      </c>
      <c r="K96" s="22">
        <f t="shared" si="61"/>
        <v>1.2540116415942411E-2</v>
      </c>
      <c r="L96" s="22">
        <f t="shared" si="62"/>
        <v>2.1280197554326514E-3</v>
      </c>
      <c r="M96" s="227">
        <f t="shared" si="63"/>
        <v>2.0696382494440097E-3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0.16969696969696968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7">
        <f t="shared" si="63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Sweet Potatoes: kg produced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0.16969696969696968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7">
        <f t="shared" si="63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Cabbage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0.16969696969696968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7">
        <f t="shared" si="63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Spinach: no produced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0.16969696969696968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7">
        <f t="shared" si="63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cashcrop: sugar cane (tons)</v>
      </c>
      <c r="B101" s="75">
        <f t="shared" ref="B101:C101" si="72">(B47/$B$83)</f>
        <v>1.5481625204867173</v>
      </c>
      <c r="C101" s="75">
        <f t="shared" si="72"/>
        <v>0</v>
      </c>
      <c r="D101" s="24">
        <f t="shared" si="57"/>
        <v>1.5481625204867173</v>
      </c>
      <c r="H101" s="24">
        <f t="shared" si="58"/>
        <v>0.16969696969696968</v>
      </c>
      <c r="I101" s="22">
        <f t="shared" si="59"/>
        <v>0.26271848832501865</v>
      </c>
      <c r="J101" s="24">
        <f t="shared" si="60"/>
        <v>0.26271848832501865</v>
      </c>
      <c r="K101" s="22">
        <f t="shared" si="61"/>
        <v>1.5481625204867173</v>
      </c>
      <c r="L101" s="22">
        <f t="shared" si="62"/>
        <v>0.26271848832501865</v>
      </c>
      <c r="M101" s="227">
        <f t="shared" si="63"/>
        <v>0.26271848832501865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Agricultural cash income -- see Data2</v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0.33636363636363642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7">
        <f t="shared" si="63"/>
        <v>0</v>
      </c>
      <c r="N102" s="229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Domestic work cash income -- see Data2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0.33636363636363642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7">
        <f t="shared" si="63"/>
        <v>0</v>
      </c>
      <c r="N103" s="229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Formal Employment (conservancies, etc.)</v>
      </c>
      <c r="B104" s="75">
        <f t="shared" ref="B104:C104" si="75">(B50/$B$83)</f>
        <v>11.146770147504364</v>
      </c>
      <c r="C104" s="75">
        <f t="shared" si="75"/>
        <v>0</v>
      </c>
      <c r="D104" s="24">
        <f t="shared" si="57"/>
        <v>11.146770147504364</v>
      </c>
      <c r="H104" s="24">
        <f t="shared" si="58"/>
        <v>0.42909090909090908</v>
      </c>
      <c r="I104" s="22">
        <f t="shared" si="59"/>
        <v>4.7829777360200545</v>
      </c>
      <c r="J104" s="24">
        <f t="shared" si="60"/>
        <v>4.7829777360200545</v>
      </c>
      <c r="K104" s="22">
        <f t="shared" si="61"/>
        <v>11.146770147504364</v>
      </c>
      <c r="L104" s="22">
        <f t="shared" si="62"/>
        <v>4.7829777360200545</v>
      </c>
      <c r="M104" s="227">
        <f t="shared" si="63"/>
        <v>4.7829777360200545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Small business -- see Data2</v>
      </c>
      <c r="B105" s="75">
        <f t="shared" ref="B105:C105" si="76">(B51/$B$83)</f>
        <v>1.8577950245840609</v>
      </c>
      <c r="C105" s="75">
        <f t="shared" si="76"/>
        <v>0</v>
      </c>
      <c r="D105" s="24">
        <f t="shared" si="57"/>
        <v>1.8577950245840609</v>
      </c>
      <c r="H105" s="24">
        <f t="shared" si="58"/>
        <v>0.57212121212121214</v>
      </c>
      <c r="I105" s="22">
        <f t="shared" si="59"/>
        <v>1.06288394133779</v>
      </c>
      <c r="J105" s="24">
        <f t="shared" si="60"/>
        <v>1.06288394133779</v>
      </c>
      <c r="K105" s="22">
        <f t="shared" si="61"/>
        <v>1.8577950245840609</v>
      </c>
      <c r="L105" s="22">
        <f t="shared" si="62"/>
        <v>1.06288394133779</v>
      </c>
      <c r="M105" s="227">
        <f t="shared" si="63"/>
        <v>1.06288394133779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Social development -- see Data2</v>
      </c>
      <c r="B106" s="75">
        <f t="shared" ref="B106:C106" si="77">(B52/$B$83)</f>
        <v>0.65022825860442124</v>
      </c>
      <c r="C106" s="75">
        <f t="shared" si="77"/>
        <v>0</v>
      </c>
      <c r="D106" s="24">
        <f t="shared" si="57"/>
        <v>0.65022825860442124</v>
      </c>
      <c r="H106" s="24">
        <f t="shared" si="58"/>
        <v>0</v>
      </c>
      <c r="I106" s="22">
        <f t="shared" si="59"/>
        <v>0</v>
      </c>
      <c r="J106" s="24">
        <f t="shared" si="60"/>
        <v>0</v>
      </c>
      <c r="K106" s="22">
        <f t="shared" si="61"/>
        <v>0.65022825860442124</v>
      </c>
      <c r="L106" s="22">
        <f t="shared" si="62"/>
        <v>0</v>
      </c>
      <c r="M106" s="227">
        <f t="shared" si="63"/>
        <v>0</v>
      </c>
      <c r="N106" s="229">
        <v>11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Public works -- see Data2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0.7151515151515152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>
        <v>14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Gifts/social support: type</v>
      </c>
      <c r="B108" s="75">
        <f t="shared" ref="B108:C108" si="79">(B54/$B$83)</f>
        <v>0.51089363176061675</v>
      </c>
      <c r="C108" s="75">
        <f t="shared" si="79"/>
        <v>0</v>
      </c>
      <c r="D108" s="24">
        <f t="shared" si="57"/>
        <v>0.51089363176061675</v>
      </c>
      <c r="H108" s="24">
        <f t="shared" si="58"/>
        <v>0.60606060606060608</v>
      </c>
      <c r="I108" s="22">
        <f t="shared" si="59"/>
        <v>0.3096325040973435</v>
      </c>
      <c r="J108" s="24">
        <f t="shared" si="60"/>
        <v>0.3096325040973435</v>
      </c>
      <c r="K108" s="22">
        <f t="shared" si="61"/>
        <v>0.51089363176061675</v>
      </c>
      <c r="L108" s="22">
        <f t="shared" si="62"/>
        <v>0.3096325040973435</v>
      </c>
      <c r="M108" s="227">
        <f t="shared" si="63"/>
        <v>0.3096325040973435</v>
      </c>
      <c r="N108" s="229">
        <v>9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Other income: e.g. Credit (cotton loans)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7">
        <f t="shared" si="63"/>
        <v>0</v>
      </c>
      <c r="N109" s="229">
        <v>15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Remittances: no. times per year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0.67272727272727284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>
        <v>16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16.737339825233949</v>
      </c>
      <c r="C119" s="22">
        <f>SUM(C91:C118)</f>
        <v>0.18872101124733084</v>
      </c>
      <c r="D119" s="24">
        <f>SUM(D91:D118)</f>
        <v>16.92606083648128</v>
      </c>
      <c r="E119" s="22"/>
      <c r="F119" s="2"/>
      <c r="G119" s="2"/>
      <c r="H119" s="31"/>
      <c r="I119" s="22">
        <f>SUM(I91:I118)</f>
        <v>6.833345412546354</v>
      </c>
      <c r="J119" s="24">
        <f>SUM(J91:J118)</f>
        <v>6.7654233163459061</v>
      </c>
      <c r="K119" s="22">
        <f>SUM(K91:K118)</f>
        <v>16.737339825233949</v>
      </c>
      <c r="L119" s="22">
        <f>SUM(L91:L118)</f>
        <v>6.7635073321070402</v>
      </c>
      <c r="M119" s="57">
        <f t="shared" si="50"/>
        <v>6.7654233163459061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0.72786155120772644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0.61757949799443457</v>
      </c>
      <c r="J124" s="237">
        <f>IF(SUMPRODUCT($B$124:$B124,$H$124:$H124)&lt;J$119,($B124*$H124),J$119)</f>
        <v>0.61757949799443457</v>
      </c>
      <c r="K124" s="22">
        <f>(B124)</f>
        <v>0.72786155120772644</v>
      </c>
      <c r="L124" s="29">
        <f>IF(SUMPRODUCT($B$124:$B124,$H$124:$H124)&lt;L$119,($B124*$H124),L$119)</f>
        <v>0.61757949799443457</v>
      </c>
      <c r="M124" s="57">
        <f t="shared" si="90"/>
        <v>0.61757949799443457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0.67338618964003516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0.48157315380317667</v>
      </c>
      <c r="J125" s="237">
        <f>IF(SUMPRODUCT($B$124:$B125,$H$124:$H125)&lt;J$119,($B125*$H125),IF(SUMPRODUCT($B$124:$B124,$H$124:$H124)&lt;J$119,J$119-SUMPRODUCT($B$124:$B124,$H$124:$H124),0))</f>
        <v>0.48157315380317667</v>
      </c>
      <c r="K125" s="22">
        <f t="shared" ref="K125:K126" si="91">(B125)</f>
        <v>0.67338618964003516</v>
      </c>
      <c r="L125" s="29">
        <f>IF(SUMPRODUCT($B$124:$B125,$H$124:$H125)&lt;L$119,($B125*$H125),IF(SUMPRODUCT($B$124:$B124,$H$124:$H124)&lt;L$119,L$119-SUMPRODUCT($B$124:$B124,$H$124:$H124),0))</f>
        <v>0.48157315380317667</v>
      </c>
      <c r="M125" s="57">
        <f t="shared" ref="M125:M126" si="92">(J125)</f>
        <v>0.48157315380317667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1.3422569052619839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0.95991705952069162</v>
      </c>
      <c r="K126" s="22">
        <f t="shared" si="91"/>
        <v>1.3422569052619839</v>
      </c>
      <c r="L126" s="29">
        <f>IF(SUMPRODUCT($B$124:$B126,$H$124:$H126)&lt;(L$119-L$128),($B126*$H126),IF(SUMPRODUCT($B$124:$B125,$H$124:$H125)&lt;(L$119-L$128),L$119-L$128-SUMPRODUCT($B$124:$B125,$H$124:$H125),0))</f>
        <v>0.95991705952069162</v>
      </c>
      <c r="M126" s="57">
        <f t="shared" si="92"/>
        <v>0.95991705952069162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1.6903999520564346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1.2088920869252078</v>
      </c>
      <c r="K127" s="22">
        <f>(B127)</f>
        <v>1.6903999520564346</v>
      </c>
      <c r="L127" s="29">
        <f>IF(SUMPRODUCT($B$124:$B127,$H$124:$H127)&lt;(L$119-L$128),($B127*$H127),IF(SUMPRODUCT($B$124:$B126,$H$124:$H126)&lt;(L$119-L128),L$119-L$128-SUMPRODUCT($B$124:$B126,$H$124:$H126),0))</f>
        <v>1.2088920869252078</v>
      </c>
      <c r="M127" s="57">
        <f t="shared" si="90"/>
        <v>1.2088920869252078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0.85667246226650062</v>
      </c>
      <c r="C128" s="2"/>
      <c r="D128" s="31"/>
      <c r="E128" s="2"/>
      <c r="F128" s="2"/>
      <c r="G128" s="2"/>
      <c r="H128" s="24"/>
      <c r="I128" s="29">
        <f>(I30)</f>
        <v>6.2157659145519197</v>
      </c>
      <c r="J128" s="228">
        <f>(J30)</f>
        <v>0.45721006916824591</v>
      </c>
      <c r="K128" s="22">
        <f>(B128)</f>
        <v>0.85667246226650062</v>
      </c>
      <c r="L128" s="22">
        <f>IF(L124=L119,0,(L119-L124)/(B119-B124)*K128)</f>
        <v>0.32887062529098654</v>
      </c>
      <c r="M128" s="57">
        <f t="shared" si="90"/>
        <v>0.45721006916824591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11.446762764801267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3.040251448934149</v>
      </c>
      <c r="K129" s="29">
        <f>(B129)</f>
        <v>11.446762764801267</v>
      </c>
      <c r="L129" s="60">
        <f>IF(SUM(L124:L128)&gt;L130,0,L130-SUM(L124:L128))</f>
        <v>3.166674908572543</v>
      </c>
      <c r="M129" s="57">
        <f t="shared" si="90"/>
        <v>3.040251448934149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16.737339825233949</v>
      </c>
      <c r="C130" s="2"/>
      <c r="D130" s="31"/>
      <c r="E130" s="2"/>
      <c r="F130" s="2"/>
      <c r="G130" s="2"/>
      <c r="H130" s="24"/>
      <c r="I130" s="29">
        <f>(I119)</f>
        <v>6.833345412546354</v>
      </c>
      <c r="J130" s="228">
        <f>(J119)</f>
        <v>6.7654233163459061</v>
      </c>
      <c r="K130" s="22">
        <f>(B130)</f>
        <v>16.737339825233949</v>
      </c>
      <c r="L130" s="22">
        <f>(L119)</f>
        <v>6.7635073321070402</v>
      </c>
      <c r="M130" s="57">
        <f t="shared" si="90"/>
        <v>6.7654233163459061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0.48157315380317733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60" operator="equal">
      <formula>16</formula>
    </cfRule>
    <cfRule type="cellIs" dxfId="145" priority="261" operator="equal">
      <formula>15</formula>
    </cfRule>
    <cfRule type="cellIs" dxfId="144" priority="262" operator="equal">
      <formula>14</formula>
    </cfRule>
    <cfRule type="cellIs" dxfId="143" priority="263" operator="equal">
      <formula>13</formula>
    </cfRule>
    <cfRule type="cellIs" dxfId="142" priority="264" operator="equal">
      <formula>12</formula>
    </cfRule>
    <cfRule type="cellIs" dxfId="141" priority="265" operator="equal">
      <formula>11</formula>
    </cfRule>
    <cfRule type="cellIs" dxfId="140" priority="266" operator="equal">
      <formula>10</formula>
    </cfRule>
    <cfRule type="cellIs" dxfId="139" priority="267" operator="equal">
      <formula>9</formula>
    </cfRule>
    <cfRule type="cellIs" dxfId="138" priority="268" operator="equal">
      <formula>8</formula>
    </cfRule>
    <cfRule type="cellIs" dxfId="137" priority="269" operator="equal">
      <formula>7</formula>
    </cfRule>
    <cfRule type="cellIs" dxfId="136" priority="270" operator="equal">
      <formula>6</formula>
    </cfRule>
    <cfRule type="cellIs" dxfId="135" priority="271" operator="equal">
      <formula>5</formula>
    </cfRule>
    <cfRule type="cellIs" dxfId="134" priority="272" operator="equal">
      <formula>4</formula>
    </cfRule>
    <cfRule type="cellIs" dxfId="133" priority="273" operator="equal">
      <formula>3</formula>
    </cfRule>
    <cfRule type="cellIs" dxfId="132" priority="274" operator="equal">
      <formula>2</formula>
    </cfRule>
    <cfRule type="cellIs" dxfId="131" priority="275" operator="equal">
      <formula>1</formula>
    </cfRule>
  </conditionalFormatting>
  <conditionalFormatting sqref="N29">
    <cfRule type="cellIs" dxfId="130" priority="244" operator="equal">
      <formula>16</formula>
    </cfRule>
    <cfRule type="cellIs" dxfId="129" priority="245" operator="equal">
      <formula>15</formula>
    </cfRule>
    <cfRule type="cellIs" dxfId="128" priority="246" operator="equal">
      <formula>14</formula>
    </cfRule>
    <cfRule type="cellIs" dxfId="127" priority="247" operator="equal">
      <formula>13</formula>
    </cfRule>
    <cfRule type="cellIs" dxfId="126" priority="248" operator="equal">
      <formula>12</formula>
    </cfRule>
    <cfRule type="cellIs" dxfId="125" priority="249" operator="equal">
      <formula>11</formula>
    </cfRule>
    <cfRule type="cellIs" dxfId="124" priority="250" operator="equal">
      <formula>10</formula>
    </cfRule>
    <cfRule type="cellIs" dxfId="123" priority="251" operator="equal">
      <formula>9</formula>
    </cfRule>
    <cfRule type="cellIs" dxfId="122" priority="252" operator="equal">
      <formula>8</formula>
    </cfRule>
    <cfRule type="cellIs" dxfId="121" priority="253" operator="equal">
      <formula>7</formula>
    </cfRule>
    <cfRule type="cellIs" dxfId="120" priority="254" operator="equal">
      <formula>6</formula>
    </cfRule>
    <cfRule type="cellIs" dxfId="119" priority="255" operator="equal">
      <formula>5</formula>
    </cfRule>
    <cfRule type="cellIs" dxfId="118" priority="256" operator="equal">
      <formula>4</formula>
    </cfRule>
    <cfRule type="cellIs" dxfId="117" priority="257" operator="equal">
      <formula>3</formula>
    </cfRule>
    <cfRule type="cellIs" dxfId="116" priority="258" operator="equal">
      <formula>2</formula>
    </cfRule>
    <cfRule type="cellIs" dxfId="115" priority="259" operator="equal">
      <formula>1</formula>
    </cfRule>
  </conditionalFormatting>
  <conditionalFormatting sqref="N113:N118">
    <cfRule type="cellIs" dxfId="114" priority="196" operator="equal">
      <formula>16</formula>
    </cfRule>
    <cfRule type="cellIs" dxfId="113" priority="197" operator="equal">
      <formula>15</formula>
    </cfRule>
    <cfRule type="cellIs" dxfId="112" priority="198" operator="equal">
      <formula>14</formula>
    </cfRule>
    <cfRule type="cellIs" dxfId="111" priority="199" operator="equal">
      <formula>13</formula>
    </cfRule>
    <cfRule type="cellIs" dxfId="110" priority="200" operator="equal">
      <formula>12</formula>
    </cfRule>
    <cfRule type="cellIs" dxfId="109" priority="201" operator="equal">
      <formula>11</formula>
    </cfRule>
    <cfRule type="cellIs" dxfId="108" priority="202" operator="equal">
      <formula>10</formula>
    </cfRule>
    <cfRule type="cellIs" dxfId="107" priority="203" operator="equal">
      <formula>9</formula>
    </cfRule>
    <cfRule type="cellIs" dxfId="106" priority="204" operator="equal">
      <formula>8</formula>
    </cfRule>
    <cfRule type="cellIs" dxfId="105" priority="205" operator="equal">
      <formula>7</formula>
    </cfRule>
    <cfRule type="cellIs" dxfId="104" priority="206" operator="equal">
      <formula>6</formula>
    </cfRule>
    <cfRule type="cellIs" dxfId="103" priority="207" operator="equal">
      <formula>5</formula>
    </cfRule>
    <cfRule type="cellIs" dxfId="102" priority="208" operator="equal">
      <formula>4</formula>
    </cfRule>
    <cfRule type="cellIs" dxfId="101" priority="209" operator="equal">
      <formula>3</formula>
    </cfRule>
    <cfRule type="cellIs" dxfId="100" priority="210" operator="equal">
      <formula>2</formula>
    </cfRule>
    <cfRule type="cellIs" dxfId="99" priority="211" operator="equal">
      <formula>1</formula>
    </cfRule>
  </conditionalFormatting>
  <conditionalFormatting sqref="N112">
    <cfRule type="cellIs" dxfId="98" priority="148" operator="equal">
      <formula>16</formula>
    </cfRule>
    <cfRule type="cellIs" dxfId="97" priority="149" operator="equal">
      <formula>15</formula>
    </cfRule>
    <cfRule type="cellIs" dxfId="96" priority="150" operator="equal">
      <formula>14</formula>
    </cfRule>
    <cfRule type="cellIs" dxfId="95" priority="151" operator="equal">
      <formula>13</formula>
    </cfRule>
    <cfRule type="cellIs" dxfId="94" priority="152" operator="equal">
      <formula>12</formula>
    </cfRule>
    <cfRule type="cellIs" dxfId="93" priority="153" operator="equal">
      <formula>11</formula>
    </cfRule>
    <cfRule type="cellIs" dxfId="92" priority="154" operator="equal">
      <formula>10</formula>
    </cfRule>
    <cfRule type="cellIs" dxfId="91" priority="155" operator="equal">
      <formula>9</formula>
    </cfRule>
    <cfRule type="cellIs" dxfId="90" priority="156" operator="equal">
      <formula>8</formula>
    </cfRule>
    <cfRule type="cellIs" dxfId="89" priority="157" operator="equal">
      <formula>7</formula>
    </cfRule>
    <cfRule type="cellIs" dxfId="88" priority="158" operator="equal">
      <formula>6</formula>
    </cfRule>
    <cfRule type="cellIs" dxfId="87" priority="159" operator="equal">
      <formula>5</formula>
    </cfRule>
    <cfRule type="cellIs" dxfId="86" priority="160" operator="equal">
      <formula>4</formula>
    </cfRule>
    <cfRule type="cellIs" dxfId="85" priority="161" operator="equal">
      <formula>3</formula>
    </cfRule>
    <cfRule type="cellIs" dxfId="84" priority="162" operator="equal">
      <formula>2</formula>
    </cfRule>
    <cfRule type="cellIs" dxfId="83" priority="163" operator="equal">
      <formula>1</formula>
    </cfRule>
  </conditionalFormatting>
  <conditionalFormatting sqref="N111">
    <cfRule type="cellIs" dxfId="82" priority="116" operator="equal">
      <formula>16</formula>
    </cfRule>
    <cfRule type="cellIs" dxfId="81" priority="117" operator="equal">
      <formula>15</formula>
    </cfRule>
    <cfRule type="cellIs" dxfId="80" priority="118" operator="equal">
      <formula>14</formula>
    </cfRule>
    <cfRule type="cellIs" dxfId="79" priority="119" operator="equal">
      <formula>13</formula>
    </cfRule>
    <cfRule type="cellIs" dxfId="78" priority="120" operator="equal">
      <formula>12</formula>
    </cfRule>
    <cfRule type="cellIs" dxfId="77" priority="121" operator="equal">
      <formula>11</formula>
    </cfRule>
    <cfRule type="cellIs" dxfId="76" priority="122" operator="equal">
      <formula>10</formula>
    </cfRule>
    <cfRule type="cellIs" dxfId="75" priority="123" operator="equal">
      <formula>9</formula>
    </cfRule>
    <cfRule type="cellIs" dxfId="74" priority="124" operator="equal">
      <formula>8</formula>
    </cfRule>
    <cfRule type="cellIs" dxfId="73" priority="125" operator="equal">
      <formula>7</formula>
    </cfRule>
    <cfRule type="cellIs" dxfId="72" priority="126" operator="equal">
      <formula>6</formula>
    </cfRule>
    <cfRule type="cellIs" dxfId="71" priority="127" operator="equal">
      <formula>5</formula>
    </cfRule>
    <cfRule type="cellIs" dxfId="70" priority="128" operator="equal">
      <formula>4</formula>
    </cfRule>
    <cfRule type="cellIs" dxfId="69" priority="129" operator="equal">
      <formula>3</formula>
    </cfRule>
    <cfRule type="cellIs" dxfId="68" priority="130" operator="equal">
      <formula>2</formula>
    </cfRule>
    <cfRule type="cellIs" dxfId="67" priority="131" operator="equal">
      <formula>1</formula>
    </cfRule>
  </conditionalFormatting>
  <conditionalFormatting sqref="N91:N104">
    <cfRule type="cellIs" dxfId="66" priority="100" operator="equal">
      <formula>16</formula>
    </cfRule>
    <cfRule type="cellIs" dxfId="65" priority="101" operator="equal">
      <formula>15</formula>
    </cfRule>
    <cfRule type="cellIs" dxfId="64" priority="102" operator="equal">
      <formula>14</formula>
    </cfRule>
    <cfRule type="cellIs" dxfId="63" priority="103" operator="equal">
      <formula>13</formula>
    </cfRule>
    <cfRule type="cellIs" dxfId="62" priority="104" operator="equal">
      <formula>12</formula>
    </cfRule>
    <cfRule type="cellIs" dxfId="61" priority="105" operator="equal">
      <formula>11</formula>
    </cfRule>
    <cfRule type="cellIs" dxfId="60" priority="106" operator="equal">
      <formula>10</formula>
    </cfRule>
    <cfRule type="cellIs" dxfId="59" priority="107" operator="equal">
      <formula>9</formula>
    </cfRule>
    <cfRule type="cellIs" dxfId="58" priority="108" operator="equal">
      <formula>8</formula>
    </cfRule>
    <cfRule type="cellIs" dxfId="57" priority="109" operator="equal">
      <formula>7</formula>
    </cfRule>
    <cfRule type="cellIs" dxfId="56" priority="110" operator="equal">
      <formula>6</formula>
    </cfRule>
    <cfRule type="cellIs" dxfId="55" priority="111" operator="equal">
      <formula>5</formula>
    </cfRule>
    <cfRule type="cellIs" dxfId="54" priority="112" operator="equal">
      <formula>4</formula>
    </cfRule>
    <cfRule type="cellIs" dxfId="53" priority="113" operator="equal">
      <formula>3</formula>
    </cfRule>
    <cfRule type="cellIs" dxfId="52" priority="114" operator="equal">
      <formula>2</formula>
    </cfRule>
    <cfRule type="cellIs" dxfId="51" priority="115" operator="equal">
      <formula>1</formula>
    </cfRule>
  </conditionalFormatting>
  <conditionalFormatting sqref="N105:N110">
    <cfRule type="cellIs" dxfId="50" priority="84" operator="equal">
      <formula>16</formula>
    </cfRule>
    <cfRule type="cellIs" dxfId="49" priority="85" operator="equal">
      <formula>15</formula>
    </cfRule>
    <cfRule type="cellIs" dxfId="48" priority="86" operator="equal">
      <formula>14</formula>
    </cfRule>
    <cfRule type="cellIs" dxfId="47" priority="87" operator="equal">
      <formula>13</formula>
    </cfRule>
    <cfRule type="cellIs" dxfId="46" priority="88" operator="equal">
      <formula>12</formula>
    </cfRule>
    <cfRule type="cellIs" dxfId="45" priority="89" operator="equal">
      <formula>11</formula>
    </cfRule>
    <cfRule type="cellIs" dxfId="44" priority="90" operator="equal">
      <formula>10</formula>
    </cfRule>
    <cfRule type="cellIs" dxfId="43" priority="91" operator="equal">
      <formula>9</formula>
    </cfRule>
    <cfRule type="cellIs" dxfId="42" priority="92" operator="equal">
      <formula>8</formula>
    </cfRule>
    <cfRule type="cellIs" dxfId="41" priority="93" operator="equal">
      <formula>7</formula>
    </cfRule>
    <cfRule type="cellIs" dxfId="40" priority="94" operator="equal">
      <formula>6</formula>
    </cfRule>
    <cfRule type="cellIs" dxfId="39" priority="95" operator="equal">
      <formula>5</formula>
    </cfRule>
    <cfRule type="cellIs" dxfId="38" priority="96" operator="equal">
      <formula>4</formula>
    </cfRule>
    <cfRule type="cellIs" dxfId="37" priority="97" operator="equal">
      <formula>3</formula>
    </cfRule>
    <cfRule type="cellIs" dxfId="36" priority="98" operator="equal">
      <formula>2</formula>
    </cfRule>
    <cfRule type="cellIs" dxfId="35" priority="99" operator="equal">
      <formula>1</formula>
    </cfRule>
  </conditionalFormatting>
  <conditionalFormatting sqref="N27:N28">
    <cfRule type="cellIs" dxfId="34" priority="68" operator="equal">
      <formula>16</formula>
    </cfRule>
    <cfRule type="cellIs" dxfId="33" priority="69" operator="equal">
      <formula>15</formula>
    </cfRule>
    <cfRule type="cellIs" dxfId="32" priority="70" operator="equal">
      <formula>14</formula>
    </cfRule>
    <cfRule type="cellIs" dxfId="31" priority="71" operator="equal">
      <formula>13</formula>
    </cfRule>
    <cfRule type="cellIs" dxfId="30" priority="72" operator="equal">
      <formula>12</formula>
    </cfRule>
    <cfRule type="cellIs" dxfId="29" priority="73" operator="equal">
      <formula>11</formula>
    </cfRule>
    <cfRule type="cellIs" dxfId="28" priority="74" operator="equal">
      <formula>10</formula>
    </cfRule>
    <cfRule type="cellIs" dxfId="27" priority="75" operator="equal">
      <formula>9</formula>
    </cfRule>
    <cfRule type="cellIs" dxfId="26" priority="76" operator="equal">
      <formula>8</formula>
    </cfRule>
    <cfRule type="cellIs" dxfId="25" priority="77" operator="equal">
      <formula>7</formula>
    </cfRule>
    <cfRule type="cellIs" dxfId="24" priority="78" operator="equal">
      <formula>6</formula>
    </cfRule>
    <cfRule type="cellIs" dxfId="23" priority="79" operator="equal">
      <formula>5</formula>
    </cfRule>
    <cfRule type="cellIs" dxfId="22" priority="80" operator="equal">
      <formula>4</formula>
    </cfRule>
    <cfRule type="cellIs" dxfId="21" priority="81" operator="equal">
      <formula>3</formula>
    </cfRule>
    <cfRule type="cellIs" dxfId="20" priority="82" operator="equal">
      <formula>2</formula>
    </cfRule>
    <cfRule type="cellIs" dxfId="19" priority="83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9"/>
      <c r="B2" s="249"/>
      <c r="C2" s="249"/>
      <c r="D2" s="249"/>
      <c r="E2" s="249"/>
      <c r="F2" s="250"/>
      <c r="G2" s="247"/>
      <c r="H2" s="247"/>
      <c r="I2" s="247"/>
      <c r="J2" s="247"/>
      <c r="K2" s="265" t="str">
        <f>Poor!A1</f>
        <v>ZASCO: 59305</v>
      </c>
      <c r="L2" s="265"/>
      <c r="M2" s="265"/>
      <c r="N2" s="265"/>
      <c r="O2" s="265"/>
      <c r="P2" s="265"/>
      <c r="Q2" s="265"/>
      <c r="R2" s="249"/>
      <c r="S2" s="249"/>
      <c r="T2" s="249"/>
      <c r="U2" s="249"/>
      <c r="V2" s="249"/>
    </row>
    <row r="3" spans="1:22" s="92" customFormat="1" ht="17">
      <c r="A3" s="90"/>
      <c r="B3" s="266" t="str">
        <f>V.Poor!A3</f>
        <v>Sources of Food : Very Poor HHs</v>
      </c>
      <c r="C3" s="267"/>
      <c r="D3" s="267"/>
      <c r="E3" s="267"/>
      <c r="F3" s="246"/>
      <c r="G3" s="264" t="str">
        <f>Poor!A3</f>
        <v>Sources of Food : Poor HHs</v>
      </c>
      <c r="H3" s="264"/>
      <c r="I3" s="264"/>
      <c r="J3" s="264"/>
      <c r="K3" s="247"/>
      <c r="L3" s="264" t="str">
        <f>Middle!A3</f>
        <v>Sources of Food : Middle HHs</v>
      </c>
      <c r="M3" s="264"/>
      <c r="N3" s="264"/>
      <c r="O3" s="264"/>
      <c r="P3" s="264"/>
      <c r="Q3" s="248"/>
      <c r="R3" s="264" t="str">
        <f>Rich!A3</f>
        <v>Sources of Food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3" workbookViewId="0">
      <selection activeCell="B90" sqref="B90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9" t="str">
        <f>Poor!A1</f>
        <v>ZASCO: 59305</v>
      </c>
      <c r="L2" s="269"/>
      <c r="M2" s="269"/>
      <c r="N2" s="269"/>
      <c r="O2" s="269"/>
      <c r="P2" s="269"/>
      <c r="Q2" s="269"/>
      <c r="R2" s="87"/>
      <c r="S2" s="87"/>
      <c r="T2" s="87"/>
      <c r="U2" s="87"/>
      <c r="V2" s="87"/>
    </row>
    <row r="3" spans="1:22" s="92" customFormat="1" ht="17">
      <c r="A3" s="90"/>
      <c r="B3" s="89"/>
      <c r="C3" s="270" t="str">
        <f>V.Poor!A34</f>
        <v>Income : Very Poor HHs</v>
      </c>
      <c r="D3" s="270"/>
      <c r="E3" s="270"/>
      <c r="F3" s="90"/>
      <c r="G3" s="268" t="str">
        <f>Poor!A34</f>
        <v>Income : Poor HHs</v>
      </c>
      <c r="H3" s="268"/>
      <c r="I3" s="268"/>
      <c r="J3" s="268"/>
      <c r="K3" s="89"/>
      <c r="L3" s="268" t="str">
        <f>Middle!A34</f>
        <v>Income : Middle HHs</v>
      </c>
      <c r="M3" s="268"/>
      <c r="N3" s="268"/>
      <c r="O3" s="268"/>
      <c r="P3" s="268"/>
      <c r="Q3" s="91"/>
      <c r="R3" s="268" t="str">
        <f>Rich!A34</f>
        <v>Income : Better-off HHs</v>
      </c>
      <c r="S3" s="268"/>
      <c r="T3" s="268"/>
      <c r="U3" s="268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1993.7522850518562</v>
      </c>
      <c r="C72" s="109">
        <f>Poor!R7</f>
        <v>3448.1756035470717</v>
      </c>
      <c r="D72" s="109">
        <f>Middle!R7</f>
        <v>2491.1301183618971</v>
      </c>
      <c r="E72" s="109">
        <f>Rich!R7</f>
        <v>2112.904554101895</v>
      </c>
      <c r="F72" s="109">
        <f>V.Poor!T7</f>
        <v>531.18539183467385</v>
      </c>
      <c r="G72" s="109">
        <f>Poor!T7</f>
        <v>1105.2396030431623</v>
      </c>
      <c r="H72" s="109">
        <f>Middle!T7</f>
        <v>651.41557858099202</v>
      </c>
      <c r="I72" s="109">
        <f>Rich!T7</f>
        <v>554.72360956729653</v>
      </c>
    </row>
    <row r="73" spans="1:9">
      <c r="A73" t="str">
        <f>V.Poor!Q8</f>
        <v>Own crops sold</v>
      </c>
      <c r="B73" s="109">
        <f>V.Poor!R8</f>
        <v>73.388312530900549</v>
      </c>
      <c r="C73" s="109">
        <f>Poor!R8</f>
        <v>2906.4829608592067</v>
      </c>
      <c r="D73" s="109">
        <f>Middle!R8</f>
        <v>1555.1332893452732</v>
      </c>
      <c r="E73" s="109">
        <f>Rich!R8</f>
        <v>52404.147701231705</v>
      </c>
      <c r="F73" s="109">
        <f>V.Poor!T8</f>
        <v>13.439999999999998</v>
      </c>
      <c r="G73" s="109">
        <f>Poor!T8</f>
        <v>145.04</v>
      </c>
      <c r="H73" s="109">
        <f>Middle!T8</f>
        <v>313.786868255473</v>
      </c>
      <c r="I73" s="109">
        <f>Rich!T8</f>
        <v>9595.0649018591957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640.42588776389903</v>
      </c>
      <c r="D74" s="109">
        <f>Middle!R9</f>
        <v>731.91530030159879</v>
      </c>
      <c r="E74" s="109">
        <f>Rich!R9</f>
        <v>2711.0289841824542</v>
      </c>
      <c r="F74" s="109">
        <f>V.Poor!T9</f>
        <v>0</v>
      </c>
      <c r="G74" s="109">
        <f>Poor!T9</f>
        <v>138.22835969840335</v>
      </c>
      <c r="H74" s="109">
        <f>Middle!T9</f>
        <v>157.97526822674666</v>
      </c>
      <c r="I74" s="109">
        <f>Rich!T9</f>
        <v>585.14356889414546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7413.748488798682</v>
      </c>
      <c r="D76" s="109">
        <f>Middle!R11</f>
        <v>15201.864738543682</v>
      </c>
      <c r="E76" s="109">
        <f>Rich!R11</f>
        <v>28866.069595487545</v>
      </c>
      <c r="F76" s="109">
        <f>V.Poor!T11</f>
        <v>0</v>
      </c>
      <c r="G76" s="109">
        <f>Poor!T11</f>
        <v>3007.82</v>
      </c>
      <c r="H76" s="109">
        <f>Middle!T11</f>
        <v>5613.8303289284459</v>
      </c>
      <c r="I76" s="109">
        <f>Rich!T11</f>
        <v>11206.535638183204</v>
      </c>
    </row>
    <row r="77" spans="1:9">
      <c r="A77" t="str">
        <f>V.Poor!Q12</f>
        <v>Wild foods consumed and sold</v>
      </c>
      <c r="B77" s="109">
        <f>V.Poor!R12</f>
        <v>1178.925965619884</v>
      </c>
      <c r="C77" s="109">
        <f>Poor!R12</f>
        <v>365.17809838714737</v>
      </c>
      <c r="D77" s="109">
        <f>Middle!R12</f>
        <v>0</v>
      </c>
      <c r="E77" s="109">
        <f>Rich!R12</f>
        <v>0</v>
      </c>
      <c r="F77" s="109">
        <f>V.Poor!T12</f>
        <v>535.10773642057256</v>
      </c>
      <c r="G77" s="109">
        <f>Poor!T12</f>
        <v>492.62110673420011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6054.5357837992951</v>
      </c>
      <c r="C78" s="109">
        <f>Poor!R13</f>
        <v>0</v>
      </c>
      <c r="D78" s="109">
        <f>Middle!R13</f>
        <v>188712.80365088707</v>
      </c>
      <c r="E78" s="109">
        <f>Rich!R13</f>
        <v>352263.90014832257</v>
      </c>
      <c r="F78" s="109">
        <f>V.Poor!T13</f>
        <v>2197.8000000000002</v>
      </c>
      <c r="G78" s="109">
        <f>Poor!T13</f>
        <v>0</v>
      </c>
      <c r="H78" s="109">
        <f>Middle!T13</f>
        <v>87387.428571428565</v>
      </c>
      <c r="I78" s="109">
        <f>Rich!T13</f>
        <v>163123.19999999998</v>
      </c>
    </row>
    <row r="79" spans="1:9">
      <c r="A79" t="str">
        <f>V.Poor!Q14</f>
        <v>Labour - formal emp</v>
      </c>
      <c r="B79" s="109">
        <f>V.Poor!R14</f>
        <v>5871.0650024720435</v>
      </c>
      <c r="C79" s="109">
        <f>Poor!R14</f>
        <v>0</v>
      </c>
      <c r="D79" s="109">
        <f>Middle!R14</f>
        <v>0</v>
      </c>
      <c r="E79" s="109">
        <f>Rich!R14</f>
        <v>58710.650024720424</v>
      </c>
      <c r="F79" s="109">
        <f>V.Poor!T14</f>
        <v>3624.96</v>
      </c>
      <c r="G79" s="109">
        <f>Poor!T14</f>
        <v>0</v>
      </c>
      <c r="H79" s="109">
        <f>Middle!T14</f>
        <v>0</v>
      </c>
      <c r="I79" s="109">
        <f>Rich!T14</f>
        <v>36249.599999999999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0</v>
      </c>
      <c r="E80" s="109">
        <f>Rich!R15</f>
        <v>16145.428756798117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10560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24218.143135197181</v>
      </c>
      <c r="C82" s="109">
        <f>Poor!R17</f>
        <v>49904.052521012367</v>
      </c>
      <c r="D82" s="109">
        <f>Middle!R17</f>
        <v>14677.662506180106</v>
      </c>
      <c r="E82" s="109">
        <f>Rich!R17</f>
        <v>20548.727508652148</v>
      </c>
      <c r="F82" s="109">
        <f>V.Poor!T17</f>
        <v>0</v>
      </c>
      <c r="G82" s="109">
        <f>Poor!T17</f>
        <v>0</v>
      </c>
      <c r="H82" s="109">
        <f>Middle!T17</f>
        <v>0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5743.6065157120338</v>
      </c>
      <c r="C83" s="109">
        <f>Poor!R18</f>
        <v>6022.8523753089175</v>
      </c>
      <c r="D83" s="109">
        <f>Middle!R18</f>
        <v>4832.0335671375506</v>
      </c>
      <c r="E83" s="109">
        <f>Rich!R18</f>
        <v>1504.8728208852517</v>
      </c>
      <c r="F83" s="109">
        <f>V.Poor!T18</f>
        <v>6198.4479593103833</v>
      </c>
      <c r="G83" s="109">
        <f>Poor!T18</f>
        <v>6499.8075534659374</v>
      </c>
      <c r="H83" s="109">
        <f>Middle!T18</f>
        <v>5214.6867167187884</v>
      </c>
      <c r="I83" s="109">
        <f>Rich!T18</f>
        <v>1624.0450734431054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11008.246879635082</v>
      </c>
      <c r="C85" s="109">
        <f>Poor!R20</f>
        <v>0</v>
      </c>
      <c r="D85" s="109">
        <f>Middle!R20</f>
        <v>0</v>
      </c>
      <c r="E85" s="109">
        <f>Rich!R20</f>
        <v>0</v>
      </c>
      <c r="F85" s="109">
        <f>V.Poor!T20</f>
        <v>8496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3518.0522319500446</v>
      </c>
      <c r="D86" s="109">
        <f>Middle!R21</f>
        <v>4368.3519363631267</v>
      </c>
      <c r="E86" s="109">
        <f>Rich!R21</f>
        <v>0</v>
      </c>
      <c r="F86" s="109">
        <f>V.Poor!T21</f>
        <v>0</v>
      </c>
      <c r="G86" s="109">
        <f>Poor!T21</f>
        <v>2301</v>
      </c>
      <c r="H86" s="109">
        <f>Middle!T21</f>
        <v>2857.1428571428573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1299.5847010680307</v>
      </c>
      <c r="D87" s="109">
        <f>Middle!R22</f>
        <v>2358.9100456360889</v>
      </c>
      <c r="E87" s="109">
        <f>Rich!R22</f>
        <v>0</v>
      </c>
      <c r="F87" s="109">
        <f>V.Poor!T22</f>
        <v>0</v>
      </c>
      <c r="G87" s="109">
        <f>Poor!T22</f>
        <v>943.50000000000023</v>
      </c>
      <c r="H87" s="109">
        <f>Middle!T22</f>
        <v>1712.5714285714287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56141.66388001827</v>
      </c>
      <c r="C88" s="109">
        <f>Poor!R23</f>
        <v>75518.552868695377</v>
      </c>
      <c r="D88" s="109">
        <f>Middle!R23</f>
        <v>234929.80515275639</v>
      </c>
      <c r="E88" s="109">
        <f>Rich!R23</f>
        <v>535267.73009438207</v>
      </c>
      <c r="F88" s="109">
        <f>V.Poor!T23</f>
        <v>21596.941087565629</v>
      </c>
      <c r="G88" s="109">
        <f>Poor!T23</f>
        <v>14633.256622941703</v>
      </c>
      <c r="H88" s="109">
        <f>Middle!T23</f>
        <v>103908.83761785331</v>
      </c>
      <c r="I88" s="109">
        <f>Rich!T23</f>
        <v>233498.31279194693</v>
      </c>
    </row>
    <row r="89" spans="1:9">
      <c r="A89" t="str">
        <f>V.Poor!Q24</f>
        <v>Food Poverty line</v>
      </c>
      <c r="B89" s="109">
        <f>V.Poor!R24</f>
        <v>47494.887852133979</v>
      </c>
      <c r="C89" s="109">
        <f>Poor!R24</f>
        <v>47494.887852133979</v>
      </c>
      <c r="D89" s="109">
        <f>Middle!R24</f>
        <v>47494.887852133972</v>
      </c>
      <c r="E89" s="109">
        <f>Rich!R24</f>
        <v>47494.887852133972</v>
      </c>
      <c r="F89" s="109">
        <f>V.Poor!T24</f>
        <v>47494.887852133979</v>
      </c>
      <c r="G89" s="109">
        <f>Poor!T24</f>
        <v>47494.887852133979</v>
      </c>
      <c r="H89" s="109">
        <f>Middle!T24</f>
        <v>47494.887852133972</v>
      </c>
      <c r="I89" s="109">
        <f>Rich!T24</f>
        <v>47494.887852133972</v>
      </c>
    </row>
    <row r="90" spans="1:9">
      <c r="A90" s="108" t="str">
        <f>V.Poor!Q25</f>
        <v>Lower Bound Poverty line</v>
      </c>
      <c r="B90" s="109">
        <f>V.Poor!R25</f>
        <v>63918.914518800651</v>
      </c>
      <c r="C90" s="109">
        <f>Poor!R25</f>
        <v>63918.914518800651</v>
      </c>
      <c r="D90" s="109">
        <f>Middle!R25</f>
        <v>63918.914518800637</v>
      </c>
      <c r="E90" s="109">
        <f>Rich!R25</f>
        <v>63918.914518800644</v>
      </c>
      <c r="F90" s="109">
        <f>V.Poor!T25</f>
        <v>63918.914518800651</v>
      </c>
      <c r="G90" s="109">
        <f>Poor!T25</f>
        <v>63918.914518800651</v>
      </c>
      <c r="H90" s="109">
        <f>Middle!T25</f>
        <v>63918.914518800637</v>
      </c>
      <c r="I90" s="109">
        <f>Rich!T25</f>
        <v>63918.914518800644</v>
      </c>
    </row>
    <row r="91" spans="1:9">
      <c r="A91" s="108" t="str">
        <f>V.Poor!Q26</f>
        <v>Upper Bound Poverty line</v>
      </c>
      <c r="B91" s="109">
        <f>V.Poor!R26</f>
        <v>96656.83451880065</v>
      </c>
      <c r="C91" s="109">
        <f>Poor!R26</f>
        <v>96656.83451880065</v>
      </c>
      <c r="D91" s="109">
        <f>Middle!R26</f>
        <v>96656.834518800635</v>
      </c>
      <c r="E91" s="109">
        <f>Rich!R26</f>
        <v>96656.83451880065</v>
      </c>
      <c r="F91" s="109">
        <f>V.Poor!T26</f>
        <v>96656.83451880065</v>
      </c>
      <c r="G91" s="109">
        <f>Poor!T26</f>
        <v>96656.83451880065</v>
      </c>
      <c r="H91" s="109">
        <f>Middle!T26</f>
        <v>96656.834518800635</v>
      </c>
      <c r="I91" s="109">
        <f>Rich!T26</f>
        <v>96656.83451880065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47494.887852133979</v>
      </c>
      <c r="G93" s="109">
        <f>Poor!T24</f>
        <v>47494.887852133979</v>
      </c>
      <c r="H93" s="109">
        <f>Middle!T24</f>
        <v>47494.887852133972</v>
      </c>
      <c r="I93" s="109">
        <f>Rich!T24</f>
        <v>47494.887852133972</v>
      </c>
    </row>
    <row r="94" spans="1:9">
      <c r="A94" t="str">
        <f>V.Poor!Q25</f>
        <v>Lower Bound Poverty line</v>
      </c>
      <c r="F94" s="109">
        <f>V.Poor!T25</f>
        <v>63918.914518800651</v>
      </c>
      <c r="G94" s="109">
        <f>Poor!T25</f>
        <v>63918.914518800651</v>
      </c>
      <c r="H94" s="109">
        <f>Middle!T25</f>
        <v>63918.914518800637</v>
      </c>
      <c r="I94" s="109">
        <f>Rich!T25</f>
        <v>63918.914518800644</v>
      </c>
    </row>
    <row r="95" spans="1:9">
      <c r="A95" t="str">
        <f>V.Poor!Q26</f>
        <v>Upper Bound Poverty line</v>
      </c>
      <c r="F95" s="109">
        <f>V.Poor!T26</f>
        <v>96656.83451880065</v>
      </c>
      <c r="G95" s="109">
        <f>Poor!T26</f>
        <v>96656.83451880065</v>
      </c>
      <c r="H95" s="109">
        <f>Middle!T26</f>
        <v>96656.834518800635</v>
      </c>
      <c r="I95" s="109">
        <f>Rich!T26</f>
        <v>96656.83451880065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25897.946764568351</v>
      </c>
      <c r="G98" s="239">
        <f t="shared" si="0"/>
        <v>32861.63122919228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7777.2506387823814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42321.973431235019</v>
      </c>
      <c r="G99" s="239">
        <f t="shared" si="0"/>
        <v>49285.657895858953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40515.17063878238</v>
      </c>
      <c r="C100" s="239">
        <f t="shared" si="0"/>
        <v>21138.281650105273</v>
      </c>
      <c r="D100" s="239">
        <f t="shared" si="0"/>
        <v>0</v>
      </c>
      <c r="E100" s="239">
        <f t="shared" si="0"/>
        <v>0</v>
      </c>
      <c r="F100" s="239">
        <f t="shared" si="0"/>
        <v>75059.893431235017</v>
      </c>
      <c r="G100" s="239">
        <f t="shared" si="0"/>
        <v>82023.577895858951</v>
      </c>
      <c r="H100" s="239">
        <f t="shared" si="0"/>
        <v>0</v>
      </c>
      <c r="I100" s="239">
        <f t="shared" si="0"/>
        <v>0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2" customFormat="1" ht="19">
      <c r="A2" s="249"/>
      <c r="B2" s="249"/>
      <c r="C2" s="249"/>
      <c r="D2" s="249"/>
      <c r="E2" s="249"/>
      <c r="F2" s="249"/>
      <c r="G2" s="247"/>
      <c r="H2" s="247"/>
      <c r="I2" s="247"/>
      <c r="J2" s="247"/>
      <c r="K2" s="265" t="str">
        <f>Poor!A1</f>
        <v>ZASCO: 59305</v>
      </c>
      <c r="L2" s="265"/>
      <c r="M2" s="265"/>
      <c r="N2" s="265"/>
      <c r="O2" s="265"/>
      <c r="P2" s="265"/>
      <c r="Q2" s="265"/>
      <c r="R2" s="249"/>
      <c r="S2" s="249"/>
      <c r="T2" s="249"/>
      <c r="U2" s="249"/>
      <c r="V2" s="249"/>
    </row>
    <row r="3" spans="1:22" s="92" customFormat="1" ht="17">
      <c r="A3" s="90"/>
      <c r="B3" s="266" t="str">
        <f>V.Poor!A67</f>
        <v>Expenditure : Very Poor HHs</v>
      </c>
      <c r="C3" s="266"/>
      <c r="D3" s="266"/>
      <c r="E3" s="266"/>
      <c r="F3" s="251"/>
      <c r="G3" s="264" t="str">
        <f>Poor!A67</f>
        <v>Expenditure : Poor HHs</v>
      </c>
      <c r="H3" s="264"/>
      <c r="I3" s="264"/>
      <c r="J3" s="264"/>
      <c r="K3" s="247"/>
      <c r="L3" s="264" t="str">
        <f>Middle!A67</f>
        <v>Expenditure : Middle HHs</v>
      </c>
      <c r="M3" s="264"/>
      <c r="N3" s="264"/>
      <c r="O3" s="264"/>
      <c r="P3" s="264"/>
      <c r="Q3" s="248"/>
      <c r="R3" s="264" t="str">
        <f>Rich!A67</f>
        <v>Expenditure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2" bestFit="1" customWidth="1"/>
    <col min="2" max="2" width="9" style="202" bestFit="1" customWidth="1"/>
    <col min="3" max="4" width="6.5703125" style="202" bestFit="1" customWidth="1"/>
    <col min="5" max="5" width="8.28515625" style="202" bestFit="1" customWidth="1"/>
    <col min="6" max="9" width="7.5703125" style="202" bestFit="1" customWidth="1"/>
    <col min="10" max="10" width="8.42578125" style="202" bestFit="1" customWidth="1"/>
    <col min="11" max="14" width="7.5703125" style="202" bestFit="1" customWidth="1"/>
    <col min="15" max="15" width="8.28515625" style="202" customWidth="1"/>
    <col min="16" max="43" width="7.42578125" style="202" bestFit="1" customWidth="1"/>
    <col min="44" max="89" width="8.42578125" style="202" bestFit="1" customWidth="1"/>
    <col min="90" max="105" width="9.42578125" style="202" bestFit="1" customWidth="1"/>
    <col min="106" max="16384" width="11.5703125" style="202"/>
  </cols>
  <sheetData>
    <row r="1" spans="1:106">
      <c r="B1" s="202" t="s">
        <v>97</v>
      </c>
      <c r="C1" s="202" t="s">
        <v>96</v>
      </c>
      <c r="D1" s="202" t="s">
        <v>98</v>
      </c>
      <c r="E1" s="202" t="s">
        <v>99</v>
      </c>
    </row>
    <row r="2" spans="1:106">
      <c r="B2" s="203">
        <f>[1]!wb_summary</f>
        <v>0.28999999999999998</v>
      </c>
      <c r="C2" s="203">
        <f>[1]WB!$CK$10</f>
        <v>0.42</v>
      </c>
      <c r="D2" s="203">
        <f>[1]WB!$CK$11</f>
        <v>0.18</v>
      </c>
      <c r="E2" s="203">
        <f>[1]WB!$CK$12</f>
        <v>0.11</v>
      </c>
      <c r="F2" s="203">
        <v>0.01</v>
      </c>
      <c r="G2" s="203">
        <v>0.02</v>
      </c>
      <c r="H2" s="203">
        <v>0.03</v>
      </c>
      <c r="I2" s="203">
        <v>0.04</v>
      </c>
      <c r="J2" s="203">
        <v>0.05</v>
      </c>
      <c r="K2" s="203">
        <v>0.06</v>
      </c>
      <c r="L2" s="203">
        <v>7.0000000000000007E-2</v>
      </c>
      <c r="M2" s="203">
        <v>0.08</v>
      </c>
      <c r="N2" s="203">
        <v>0.09</v>
      </c>
      <c r="O2" s="203">
        <v>0.1</v>
      </c>
      <c r="P2" s="203">
        <v>0.11</v>
      </c>
      <c r="Q2" s="203">
        <v>0.12</v>
      </c>
      <c r="R2" s="203">
        <v>0.13</v>
      </c>
      <c r="S2" s="203">
        <v>0.14000000000000001</v>
      </c>
      <c r="T2" s="203">
        <v>0.15</v>
      </c>
      <c r="U2" s="203">
        <v>0.16</v>
      </c>
      <c r="V2" s="203">
        <v>0.17</v>
      </c>
      <c r="W2" s="203">
        <v>0.18</v>
      </c>
      <c r="X2" s="203">
        <v>0.19</v>
      </c>
      <c r="Y2" s="203">
        <v>0.2</v>
      </c>
      <c r="Z2" s="203">
        <v>0.21</v>
      </c>
      <c r="AA2" s="203">
        <v>0.22</v>
      </c>
      <c r="AB2" s="203">
        <v>0.23</v>
      </c>
      <c r="AC2" s="203">
        <v>0.24</v>
      </c>
      <c r="AD2" s="203">
        <v>0.25</v>
      </c>
      <c r="AE2" s="203">
        <v>0.26</v>
      </c>
      <c r="AF2" s="203">
        <v>0.27</v>
      </c>
      <c r="AG2" s="203">
        <v>0.28000000000000003</v>
      </c>
      <c r="AH2" s="203">
        <v>0.28999999999999998</v>
      </c>
      <c r="AI2" s="203">
        <v>0.3</v>
      </c>
      <c r="AJ2" s="203">
        <v>0.31</v>
      </c>
      <c r="AK2" s="203">
        <v>0.32</v>
      </c>
      <c r="AL2" s="203">
        <v>0.33</v>
      </c>
      <c r="AM2" s="203">
        <v>0.34</v>
      </c>
      <c r="AN2" s="203">
        <v>0.35</v>
      </c>
      <c r="AO2" s="203">
        <v>0.36</v>
      </c>
      <c r="AP2" s="203">
        <v>0.37</v>
      </c>
      <c r="AQ2" s="203">
        <v>0.38</v>
      </c>
      <c r="AR2" s="203">
        <v>0.39</v>
      </c>
      <c r="AS2" s="203">
        <v>0.4</v>
      </c>
      <c r="AT2" s="203">
        <v>0.41</v>
      </c>
      <c r="AU2" s="203">
        <v>0.42</v>
      </c>
      <c r="AV2" s="203">
        <v>0.43</v>
      </c>
      <c r="AW2" s="203">
        <v>0.44</v>
      </c>
      <c r="AX2" s="203">
        <v>0.45</v>
      </c>
      <c r="AY2" s="203">
        <v>0.46</v>
      </c>
      <c r="AZ2" s="203">
        <v>0.47</v>
      </c>
      <c r="BA2" s="203">
        <v>0.48</v>
      </c>
      <c r="BB2" s="203">
        <v>0.49</v>
      </c>
      <c r="BC2" s="203">
        <v>0.5</v>
      </c>
      <c r="BD2" s="203">
        <v>0.51</v>
      </c>
      <c r="BE2" s="203">
        <v>0.52</v>
      </c>
      <c r="BF2" s="203">
        <v>0.53</v>
      </c>
      <c r="BG2" s="203">
        <v>0.54</v>
      </c>
      <c r="BH2" s="203">
        <v>0.55000000000000004</v>
      </c>
      <c r="BI2" s="203">
        <v>0.56000000000000005</v>
      </c>
      <c r="BJ2" s="203">
        <v>0.56999999999999995</v>
      </c>
      <c r="BK2" s="203">
        <v>0.57999999999999996</v>
      </c>
      <c r="BL2" s="203">
        <v>0.59</v>
      </c>
      <c r="BM2" s="203">
        <v>0.6</v>
      </c>
      <c r="BN2" s="203">
        <v>0.61</v>
      </c>
      <c r="BO2" s="203">
        <v>0.62</v>
      </c>
      <c r="BP2" s="203">
        <v>0.63</v>
      </c>
      <c r="BQ2" s="203">
        <v>0.64</v>
      </c>
      <c r="BR2" s="203">
        <v>0.65</v>
      </c>
      <c r="BS2" s="203">
        <v>0.66</v>
      </c>
      <c r="BT2" s="203">
        <v>0.67</v>
      </c>
      <c r="BU2" s="203">
        <v>0.68</v>
      </c>
      <c r="BV2" s="203">
        <v>0.69</v>
      </c>
      <c r="BW2" s="203">
        <v>0.7</v>
      </c>
      <c r="BX2" s="203">
        <v>0.71</v>
      </c>
      <c r="BY2" s="203">
        <v>0.72</v>
      </c>
      <c r="BZ2" s="203">
        <v>0.73</v>
      </c>
      <c r="CA2" s="203">
        <v>0.74</v>
      </c>
      <c r="CB2" s="203">
        <v>0.75</v>
      </c>
      <c r="CC2" s="203">
        <v>0.76</v>
      </c>
      <c r="CD2" s="203">
        <v>0.77</v>
      </c>
      <c r="CE2" s="203">
        <v>0.78</v>
      </c>
      <c r="CF2" s="203">
        <v>0.79</v>
      </c>
      <c r="CG2" s="203">
        <v>0.8</v>
      </c>
      <c r="CH2" s="203">
        <v>0.81</v>
      </c>
      <c r="CI2" s="203">
        <v>0.82</v>
      </c>
      <c r="CJ2" s="203">
        <v>0.83</v>
      </c>
      <c r="CK2" s="203">
        <v>0.84</v>
      </c>
      <c r="CL2" s="203">
        <v>0.85</v>
      </c>
      <c r="CM2" s="203">
        <v>0.86</v>
      </c>
      <c r="CN2" s="203">
        <v>0.87</v>
      </c>
      <c r="CO2" s="203">
        <v>0.88</v>
      </c>
      <c r="CP2" s="203">
        <v>0.89</v>
      </c>
      <c r="CQ2" s="203">
        <v>0.9</v>
      </c>
      <c r="CR2" s="203">
        <v>0.91</v>
      </c>
      <c r="CS2" s="203">
        <v>0.92</v>
      </c>
      <c r="CT2" s="203">
        <v>0.93</v>
      </c>
      <c r="CU2" s="203">
        <v>0.94</v>
      </c>
      <c r="CV2" s="203">
        <v>0.95</v>
      </c>
      <c r="CW2" s="203">
        <v>0.96</v>
      </c>
      <c r="CX2" s="203">
        <v>0.97</v>
      </c>
      <c r="CY2" s="203">
        <v>0.98</v>
      </c>
      <c r="CZ2" s="203">
        <v>0.99</v>
      </c>
      <c r="DA2" s="203">
        <v>1</v>
      </c>
      <c r="DB2" s="203"/>
    </row>
    <row r="3" spans="1:106">
      <c r="A3" s="202" t="str">
        <f>Income!A72</f>
        <v>Own crops Consumed</v>
      </c>
      <c r="B3" s="204">
        <f>Income!B72</f>
        <v>1993.7522850518562</v>
      </c>
      <c r="C3" s="204">
        <f>Income!C72</f>
        <v>3448.1756035470717</v>
      </c>
      <c r="D3" s="204">
        <f>Income!D72</f>
        <v>2491.1301183618971</v>
      </c>
      <c r="E3" s="204">
        <f>Income!E72</f>
        <v>2112.904554101895</v>
      </c>
      <c r="F3" s="205">
        <f>IF(F$2&lt;=($B$2+$C$2+$D$2),IF(F$2&lt;=($B$2+$C$2),IF(F$2&lt;=$B$2,$B3,$C3),$D3),$E3)</f>
        <v>1993.7522850518562</v>
      </c>
      <c r="G3" s="205">
        <f t="shared" ref="G3:AW7" si="0">IF(G$2&lt;=($B$2+$C$2+$D$2),IF(G$2&lt;=($B$2+$C$2),IF(G$2&lt;=$B$2,$B3,$C3),$D3),$E3)</f>
        <v>1993.7522850518562</v>
      </c>
      <c r="H3" s="205">
        <f t="shared" si="0"/>
        <v>1993.7522850518562</v>
      </c>
      <c r="I3" s="205">
        <f t="shared" si="0"/>
        <v>1993.7522850518562</v>
      </c>
      <c r="J3" s="205">
        <f t="shared" si="0"/>
        <v>1993.7522850518562</v>
      </c>
      <c r="K3" s="205">
        <f t="shared" si="0"/>
        <v>1993.7522850518562</v>
      </c>
      <c r="L3" s="205">
        <f t="shared" si="0"/>
        <v>1993.7522850518562</v>
      </c>
      <c r="M3" s="205">
        <f t="shared" si="0"/>
        <v>1993.7522850518562</v>
      </c>
      <c r="N3" s="205">
        <f t="shared" si="0"/>
        <v>1993.7522850518562</v>
      </c>
      <c r="O3" s="205">
        <f t="shared" si="0"/>
        <v>1993.7522850518562</v>
      </c>
      <c r="P3" s="205">
        <f t="shared" si="0"/>
        <v>1993.7522850518562</v>
      </c>
      <c r="Q3" s="205">
        <f t="shared" si="0"/>
        <v>1993.7522850518562</v>
      </c>
      <c r="R3" s="205">
        <f t="shared" si="0"/>
        <v>1993.7522850518562</v>
      </c>
      <c r="S3" s="205">
        <f t="shared" si="0"/>
        <v>1993.7522850518562</v>
      </c>
      <c r="T3" s="205">
        <f t="shared" si="0"/>
        <v>1993.7522850518562</v>
      </c>
      <c r="U3" s="205">
        <f t="shared" si="0"/>
        <v>1993.7522850518562</v>
      </c>
      <c r="V3" s="205">
        <f t="shared" si="0"/>
        <v>1993.7522850518562</v>
      </c>
      <c r="W3" s="205">
        <f t="shared" si="0"/>
        <v>1993.7522850518562</v>
      </c>
      <c r="X3" s="205">
        <f t="shared" si="0"/>
        <v>1993.7522850518562</v>
      </c>
      <c r="Y3" s="205">
        <f t="shared" si="0"/>
        <v>1993.7522850518562</v>
      </c>
      <c r="Z3" s="205">
        <f t="shared" si="0"/>
        <v>1993.7522850518562</v>
      </c>
      <c r="AA3" s="205">
        <f t="shared" si="0"/>
        <v>1993.7522850518562</v>
      </c>
      <c r="AB3" s="205">
        <f t="shared" si="0"/>
        <v>1993.7522850518562</v>
      </c>
      <c r="AC3" s="205">
        <f t="shared" si="0"/>
        <v>1993.7522850518562</v>
      </c>
      <c r="AD3" s="205">
        <f t="shared" si="0"/>
        <v>1993.7522850518562</v>
      </c>
      <c r="AE3" s="205">
        <f t="shared" si="0"/>
        <v>1993.7522850518562</v>
      </c>
      <c r="AF3" s="205">
        <f t="shared" si="0"/>
        <v>1993.7522850518562</v>
      </c>
      <c r="AG3" s="205">
        <f t="shared" si="0"/>
        <v>1993.7522850518562</v>
      </c>
      <c r="AH3" s="205">
        <f t="shared" si="0"/>
        <v>1993.7522850518562</v>
      </c>
      <c r="AI3" s="205">
        <f t="shared" si="0"/>
        <v>3448.1756035470717</v>
      </c>
      <c r="AJ3" s="205">
        <f t="shared" si="0"/>
        <v>3448.1756035470717</v>
      </c>
      <c r="AK3" s="205">
        <f t="shared" si="0"/>
        <v>3448.1756035470717</v>
      </c>
      <c r="AL3" s="205">
        <f t="shared" si="0"/>
        <v>3448.1756035470717</v>
      </c>
      <c r="AM3" s="205">
        <f t="shared" si="0"/>
        <v>3448.1756035470717</v>
      </c>
      <c r="AN3" s="205">
        <f t="shared" si="0"/>
        <v>3448.1756035470717</v>
      </c>
      <c r="AO3" s="205">
        <f t="shared" si="0"/>
        <v>3448.1756035470717</v>
      </c>
      <c r="AP3" s="205">
        <f t="shared" si="0"/>
        <v>3448.1756035470717</v>
      </c>
      <c r="AQ3" s="205">
        <f t="shared" si="0"/>
        <v>3448.1756035470717</v>
      </c>
      <c r="AR3" s="205">
        <f t="shared" si="0"/>
        <v>3448.1756035470717</v>
      </c>
      <c r="AS3" s="205">
        <f t="shared" si="0"/>
        <v>3448.1756035470717</v>
      </c>
      <c r="AT3" s="205">
        <f t="shared" si="0"/>
        <v>3448.1756035470717</v>
      </c>
      <c r="AU3" s="205">
        <f t="shared" si="0"/>
        <v>3448.1756035470717</v>
      </c>
      <c r="AV3" s="205">
        <f t="shared" si="0"/>
        <v>3448.1756035470717</v>
      </c>
      <c r="AW3" s="205">
        <f t="shared" si="0"/>
        <v>3448.1756035470717</v>
      </c>
      <c r="AX3" s="205">
        <f t="shared" ref="AX3:BZ10" si="1">IF(AX$2&lt;=($B$2+$C$2+$D$2),IF(AX$2&lt;=($B$2+$C$2),IF(AX$2&lt;=$B$2,$B3,$C3),$D3),$E3)</f>
        <v>3448.1756035470717</v>
      </c>
      <c r="AY3" s="205">
        <f t="shared" si="1"/>
        <v>3448.1756035470717</v>
      </c>
      <c r="AZ3" s="205">
        <f t="shared" si="1"/>
        <v>3448.1756035470717</v>
      </c>
      <c r="BA3" s="205">
        <f t="shared" si="1"/>
        <v>3448.1756035470717</v>
      </c>
      <c r="BB3" s="205">
        <f t="shared" si="1"/>
        <v>3448.1756035470717</v>
      </c>
      <c r="BC3" s="205">
        <f t="shared" si="1"/>
        <v>3448.1756035470717</v>
      </c>
      <c r="BD3" s="205">
        <f t="shared" si="1"/>
        <v>3448.1756035470717</v>
      </c>
      <c r="BE3" s="205">
        <f t="shared" si="1"/>
        <v>3448.1756035470717</v>
      </c>
      <c r="BF3" s="205">
        <f t="shared" si="1"/>
        <v>3448.1756035470717</v>
      </c>
      <c r="BG3" s="205">
        <f t="shared" si="1"/>
        <v>3448.1756035470717</v>
      </c>
      <c r="BH3" s="205">
        <f t="shared" si="1"/>
        <v>3448.1756035470717</v>
      </c>
      <c r="BI3" s="205">
        <f t="shared" si="1"/>
        <v>3448.1756035470717</v>
      </c>
      <c r="BJ3" s="205">
        <f t="shared" si="1"/>
        <v>3448.1756035470717</v>
      </c>
      <c r="BK3" s="205">
        <f t="shared" si="1"/>
        <v>3448.1756035470717</v>
      </c>
      <c r="BL3" s="205">
        <f t="shared" si="1"/>
        <v>3448.1756035470717</v>
      </c>
      <c r="BM3" s="205">
        <f t="shared" si="1"/>
        <v>3448.1756035470717</v>
      </c>
      <c r="BN3" s="205">
        <f t="shared" si="1"/>
        <v>3448.1756035470717</v>
      </c>
      <c r="BO3" s="205">
        <f t="shared" si="1"/>
        <v>3448.1756035470717</v>
      </c>
      <c r="BP3" s="205">
        <f t="shared" si="1"/>
        <v>3448.1756035470717</v>
      </c>
      <c r="BQ3" s="205">
        <f t="shared" si="1"/>
        <v>3448.1756035470717</v>
      </c>
      <c r="BR3" s="205">
        <f t="shared" si="1"/>
        <v>3448.1756035470717</v>
      </c>
      <c r="BS3" s="205">
        <f t="shared" si="1"/>
        <v>3448.1756035470717</v>
      </c>
      <c r="BT3" s="205">
        <f t="shared" si="1"/>
        <v>3448.1756035470717</v>
      </c>
      <c r="BU3" s="205">
        <f t="shared" si="1"/>
        <v>3448.1756035470717</v>
      </c>
      <c r="BV3" s="205">
        <f t="shared" si="1"/>
        <v>3448.1756035470717</v>
      </c>
      <c r="BW3" s="205">
        <f t="shared" si="1"/>
        <v>3448.1756035470717</v>
      </c>
      <c r="BX3" s="205">
        <f t="shared" si="1"/>
        <v>3448.1756035470717</v>
      </c>
      <c r="BY3" s="205">
        <f t="shared" si="1"/>
        <v>2491.1301183618971</v>
      </c>
      <c r="BZ3" s="205">
        <f t="shared" si="1"/>
        <v>2491.1301183618971</v>
      </c>
      <c r="CA3" s="205">
        <f t="shared" ref="CA3:CR15" si="2">IF(CA$2&lt;=($B$2+$C$2+$D$2),IF(CA$2&lt;=($B$2+$C$2),IF(CA$2&lt;=$B$2,$B3,$C3),$D3),$E3)</f>
        <v>2491.1301183618971</v>
      </c>
      <c r="CB3" s="205">
        <f t="shared" si="2"/>
        <v>2491.1301183618971</v>
      </c>
      <c r="CC3" s="205">
        <f t="shared" si="2"/>
        <v>2491.1301183618971</v>
      </c>
      <c r="CD3" s="205">
        <f t="shared" si="2"/>
        <v>2491.1301183618971</v>
      </c>
      <c r="CE3" s="205">
        <f t="shared" si="2"/>
        <v>2491.1301183618971</v>
      </c>
      <c r="CF3" s="205">
        <f t="shared" si="2"/>
        <v>2491.1301183618971</v>
      </c>
      <c r="CG3" s="205">
        <f t="shared" si="2"/>
        <v>2491.1301183618971</v>
      </c>
      <c r="CH3" s="205">
        <f t="shared" si="2"/>
        <v>2491.1301183618971</v>
      </c>
      <c r="CI3" s="205">
        <f t="shared" si="2"/>
        <v>2491.1301183618971</v>
      </c>
      <c r="CJ3" s="205">
        <f t="shared" si="2"/>
        <v>2491.1301183618971</v>
      </c>
      <c r="CK3" s="205">
        <f t="shared" si="2"/>
        <v>2491.1301183618971</v>
      </c>
      <c r="CL3" s="205">
        <f t="shared" si="2"/>
        <v>2491.1301183618971</v>
      </c>
      <c r="CM3" s="205">
        <f t="shared" si="2"/>
        <v>2491.1301183618971</v>
      </c>
      <c r="CN3" s="205">
        <f t="shared" si="2"/>
        <v>2491.1301183618971</v>
      </c>
      <c r="CO3" s="205">
        <f t="shared" si="2"/>
        <v>2491.1301183618971</v>
      </c>
      <c r="CP3" s="205">
        <f t="shared" si="2"/>
        <v>2491.1301183618971</v>
      </c>
      <c r="CQ3" s="205">
        <f t="shared" si="2"/>
        <v>2112.904554101895</v>
      </c>
      <c r="CR3" s="205">
        <f t="shared" si="2"/>
        <v>2112.904554101895</v>
      </c>
      <c r="CS3" s="205">
        <f t="shared" ref="CS3:DA15" si="3">IF(CS$2&lt;=($B$2+$C$2+$D$2),IF(CS$2&lt;=($B$2+$C$2),IF(CS$2&lt;=$B$2,$B3,$C3),$D3),$E3)</f>
        <v>2112.904554101895</v>
      </c>
      <c r="CT3" s="205">
        <f t="shared" si="3"/>
        <v>2112.904554101895</v>
      </c>
      <c r="CU3" s="205">
        <f t="shared" si="3"/>
        <v>2112.904554101895</v>
      </c>
      <c r="CV3" s="205">
        <f t="shared" si="3"/>
        <v>2112.904554101895</v>
      </c>
      <c r="CW3" s="205">
        <f t="shared" si="3"/>
        <v>2112.904554101895</v>
      </c>
      <c r="CX3" s="205">
        <f t="shared" si="3"/>
        <v>2112.904554101895</v>
      </c>
      <c r="CY3" s="205">
        <f t="shared" si="3"/>
        <v>2112.904554101895</v>
      </c>
      <c r="CZ3" s="205">
        <f t="shared" si="3"/>
        <v>2112.904554101895</v>
      </c>
      <c r="DA3" s="205">
        <f t="shared" si="3"/>
        <v>2112.904554101895</v>
      </c>
      <c r="DB3" s="205"/>
    </row>
    <row r="4" spans="1:106">
      <c r="A4" s="202" t="str">
        <f>Income!A73</f>
        <v>Own crops sold</v>
      </c>
      <c r="B4" s="204">
        <f>Income!B73</f>
        <v>73.388312530900549</v>
      </c>
      <c r="C4" s="204">
        <f>Income!C73</f>
        <v>2906.4829608592067</v>
      </c>
      <c r="D4" s="204">
        <f>Income!D73</f>
        <v>1555.1332893452732</v>
      </c>
      <c r="E4" s="204">
        <f>Income!E73</f>
        <v>52404.147701231705</v>
      </c>
      <c r="F4" s="205">
        <f t="shared" ref="F4:U17" si="4">IF(F$2&lt;=($B$2+$C$2+$D$2),IF(F$2&lt;=($B$2+$C$2),IF(F$2&lt;=$B$2,$B4,$C4),$D4),$E4)</f>
        <v>73.388312530900549</v>
      </c>
      <c r="G4" s="205">
        <f t="shared" si="0"/>
        <v>73.388312530900549</v>
      </c>
      <c r="H4" s="205">
        <f t="shared" si="0"/>
        <v>73.388312530900549</v>
      </c>
      <c r="I4" s="205">
        <f t="shared" si="0"/>
        <v>73.388312530900549</v>
      </c>
      <c r="J4" s="205">
        <f t="shared" si="0"/>
        <v>73.388312530900549</v>
      </c>
      <c r="K4" s="205">
        <f t="shared" si="0"/>
        <v>73.388312530900549</v>
      </c>
      <c r="L4" s="205">
        <f t="shared" si="0"/>
        <v>73.388312530900549</v>
      </c>
      <c r="M4" s="205">
        <f t="shared" si="0"/>
        <v>73.388312530900549</v>
      </c>
      <c r="N4" s="205">
        <f t="shared" si="0"/>
        <v>73.388312530900549</v>
      </c>
      <c r="O4" s="205">
        <f t="shared" si="0"/>
        <v>73.388312530900549</v>
      </c>
      <c r="P4" s="205">
        <f t="shared" si="0"/>
        <v>73.388312530900549</v>
      </c>
      <c r="Q4" s="205">
        <f t="shared" si="0"/>
        <v>73.388312530900549</v>
      </c>
      <c r="R4" s="205">
        <f t="shared" si="0"/>
        <v>73.388312530900549</v>
      </c>
      <c r="S4" s="205">
        <f t="shared" si="0"/>
        <v>73.388312530900549</v>
      </c>
      <c r="T4" s="205">
        <f t="shared" si="0"/>
        <v>73.388312530900549</v>
      </c>
      <c r="U4" s="205">
        <f t="shared" si="0"/>
        <v>73.388312530900549</v>
      </c>
      <c r="V4" s="205">
        <f t="shared" si="0"/>
        <v>73.388312530900549</v>
      </c>
      <c r="W4" s="205">
        <f t="shared" si="0"/>
        <v>73.388312530900549</v>
      </c>
      <c r="X4" s="205">
        <f t="shared" si="0"/>
        <v>73.388312530900549</v>
      </c>
      <c r="Y4" s="205">
        <f t="shared" si="0"/>
        <v>73.388312530900549</v>
      </c>
      <c r="Z4" s="205">
        <f t="shared" si="0"/>
        <v>73.388312530900549</v>
      </c>
      <c r="AA4" s="205">
        <f t="shared" si="0"/>
        <v>73.388312530900549</v>
      </c>
      <c r="AB4" s="205">
        <f t="shared" si="0"/>
        <v>73.388312530900549</v>
      </c>
      <c r="AC4" s="205">
        <f t="shared" si="0"/>
        <v>73.388312530900549</v>
      </c>
      <c r="AD4" s="205">
        <f t="shared" si="0"/>
        <v>73.388312530900549</v>
      </c>
      <c r="AE4" s="205">
        <f t="shared" si="0"/>
        <v>73.388312530900549</v>
      </c>
      <c r="AF4" s="205">
        <f t="shared" si="0"/>
        <v>73.388312530900549</v>
      </c>
      <c r="AG4" s="205">
        <f t="shared" si="0"/>
        <v>73.388312530900549</v>
      </c>
      <c r="AH4" s="205">
        <f t="shared" si="0"/>
        <v>73.388312530900549</v>
      </c>
      <c r="AI4" s="205">
        <f t="shared" si="0"/>
        <v>2906.4829608592067</v>
      </c>
      <c r="AJ4" s="205">
        <f t="shared" si="0"/>
        <v>2906.4829608592067</v>
      </c>
      <c r="AK4" s="205">
        <f t="shared" si="0"/>
        <v>2906.4829608592067</v>
      </c>
      <c r="AL4" s="205">
        <f t="shared" si="0"/>
        <v>2906.4829608592067</v>
      </c>
      <c r="AM4" s="205">
        <f t="shared" si="0"/>
        <v>2906.4829608592067</v>
      </c>
      <c r="AN4" s="205">
        <f t="shared" si="0"/>
        <v>2906.4829608592067</v>
      </c>
      <c r="AO4" s="205">
        <f t="shared" si="0"/>
        <v>2906.4829608592067</v>
      </c>
      <c r="AP4" s="205">
        <f t="shared" si="0"/>
        <v>2906.4829608592067</v>
      </c>
      <c r="AQ4" s="205">
        <f t="shared" si="0"/>
        <v>2906.4829608592067</v>
      </c>
      <c r="AR4" s="205">
        <f t="shared" si="0"/>
        <v>2906.4829608592067</v>
      </c>
      <c r="AS4" s="205">
        <f t="shared" si="0"/>
        <v>2906.4829608592067</v>
      </c>
      <c r="AT4" s="205">
        <f t="shared" si="0"/>
        <v>2906.4829608592067</v>
      </c>
      <c r="AU4" s="205">
        <f t="shared" si="0"/>
        <v>2906.4829608592067</v>
      </c>
      <c r="AV4" s="205">
        <f t="shared" si="0"/>
        <v>2906.4829608592067</v>
      </c>
      <c r="AW4" s="205">
        <f t="shared" si="0"/>
        <v>2906.4829608592067</v>
      </c>
      <c r="AX4" s="205">
        <f t="shared" si="1"/>
        <v>2906.4829608592067</v>
      </c>
      <c r="AY4" s="205">
        <f t="shared" si="1"/>
        <v>2906.4829608592067</v>
      </c>
      <c r="AZ4" s="205">
        <f t="shared" si="1"/>
        <v>2906.4829608592067</v>
      </c>
      <c r="BA4" s="205">
        <f t="shared" si="1"/>
        <v>2906.4829608592067</v>
      </c>
      <c r="BB4" s="205">
        <f t="shared" si="1"/>
        <v>2906.4829608592067</v>
      </c>
      <c r="BC4" s="205">
        <f t="shared" si="1"/>
        <v>2906.4829608592067</v>
      </c>
      <c r="BD4" s="205">
        <f t="shared" si="1"/>
        <v>2906.4829608592067</v>
      </c>
      <c r="BE4" s="205">
        <f t="shared" si="1"/>
        <v>2906.4829608592067</v>
      </c>
      <c r="BF4" s="205">
        <f t="shared" si="1"/>
        <v>2906.4829608592067</v>
      </c>
      <c r="BG4" s="205">
        <f t="shared" si="1"/>
        <v>2906.4829608592067</v>
      </c>
      <c r="BH4" s="205">
        <f t="shared" si="1"/>
        <v>2906.4829608592067</v>
      </c>
      <c r="BI4" s="205">
        <f t="shared" si="1"/>
        <v>2906.4829608592067</v>
      </c>
      <c r="BJ4" s="205">
        <f t="shared" si="1"/>
        <v>2906.4829608592067</v>
      </c>
      <c r="BK4" s="205">
        <f t="shared" si="1"/>
        <v>2906.4829608592067</v>
      </c>
      <c r="BL4" s="205">
        <f t="shared" si="1"/>
        <v>2906.4829608592067</v>
      </c>
      <c r="BM4" s="205">
        <f t="shared" si="1"/>
        <v>2906.4829608592067</v>
      </c>
      <c r="BN4" s="205">
        <f t="shared" si="1"/>
        <v>2906.4829608592067</v>
      </c>
      <c r="BO4" s="205">
        <f t="shared" si="1"/>
        <v>2906.4829608592067</v>
      </c>
      <c r="BP4" s="205">
        <f t="shared" si="1"/>
        <v>2906.4829608592067</v>
      </c>
      <c r="BQ4" s="205">
        <f t="shared" si="1"/>
        <v>2906.4829608592067</v>
      </c>
      <c r="BR4" s="205">
        <f t="shared" si="1"/>
        <v>2906.4829608592067</v>
      </c>
      <c r="BS4" s="205">
        <f t="shared" si="1"/>
        <v>2906.4829608592067</v>
      </c>
      <c r="BT4" s="205">
        <f t="shared" si="1"/>
        <v>2906.4829608592067</v>
      </c>
      <c r="BU4" s="205">
        <f t="shared" si="1"/>
        <v>2906.4829608592067</v>
      </c>
      <c r="BV4" s="205">
        <f t="shared" si="1"/>
        <v>2906.4829608592067</v>
      </c>
      <c r="BW4" s="205">
        <f t="shared" si="1"/>
        <v>2906.4829608592067</v>
      </c>
      <c r="BX4" s="205">
        <f t="shared" si="1"/>
        <v>2906.4829608592067</v>
      </c>
      <c r="BY4" s="205">
        <f t="shared" si="1"/>
        <v>1555.1332893452732</v>
      </c>
      <c r="BZ4" s="205">
        <f t="shared" si="1"/>
        <v>1555.1332893452732</v>
      </c>
      <c r="CA4" s="205">
        <f t="shared" si="2"/>
        <v>1555.1332893452732</v>
      </c>
      <c r="CB4" s="205">
        <f t="shared" si="2"/>
        <v>1555.1332893452732</v>
      </c>
      <c r="CC4" s="205">
        <f t="shared" si="2"/>
        <v>1555.1332893452732</v>
      </c>
      <c r="CD4" s="205">
        <f t="shared" si="2"/>
        <v>1555.1332893452732</v>
      </c>
      <c r="CE4" s="205">
        <f t="shared" si="2"/>
        <v>1555.1332893452732</v>
      </c>
      <c r="CF4" s="205">
        <f t="shared" si="2"/>
        <v>1555.1332893452732</v>
      </c>
      <c r="CG4" s="205">
        <f t="shared" si="2"/>
        <v>1555.1332893452732</v>
      </c>
      <c r="CH4" s="205">
        <f t="shared" si="2"/>
        <v>1555.1332893452732</v>
      </c>
      <c r="CI4" s="205">
        <f t="shared" si="2"/>
        <v>1555.1332893452732</v>
      </c>
      <c r="CJ4" s="205">
        <f t="shared" si="2"/>
        <v>1555.1332893452732</v>
      </c>
      <c r="CK4" s="205">
        <f t="shared" si="2"/>
        <v>1555.1332893452732</v>
      </c>
      <c r="CL4" s="205">
        <f t="shared" si="2"/>
        <v>1555.1332893452732</v>
      </c>
      <c r="CM4" s="205">
        <f t="shared" si="2"/>
        <v>1555.1332893452732</v>
      </c>
      <c r="CN4" s="205">
        <f t="shared" si="2"/>
        <v>1555.1332893452732</v>
      </c>
      <c r="CO4" s="205">
        <f t="shared" si="2"/>
        <v>1555.1332893452732</v>
      </c>
      <c r="CP4" s="205">
        <f t="shared" si="2"/>
        <v>1555.1332893452732</v>
      </c>
      <c r="CQ4" s="205">
        <f t="shared" si="2"/>
        <v>52404.147701231705</v>
      </c>
      <c r="CR4" s="205">
        <f t="shared" si="2"/>
        <v>52404.147701231705</v>
      </c>
      <c r="CS4" s="205">
        <f t="shared" si="3"/>
        <v>52404.147701231705</v>
      </c>
      <c r="CT4" s="205">
        <f t="shared" si="3"/>
        <v>52404.147701231705</v>
      </c>
      <c r="CU4" s="205">
        <f t="shared" si="3"/>
        <v>52404.147701231705</v>
      </c>
      <c r="CV4" s="205">
        <f t="shared" si="3"/>
        <v>52404.147701231705</v>
      </c>
      <c r="CW4" s="205">
        <f t="shared" si="3"/>
        <v>52404.147701231705</v>
      </c>
      <c r="CX4" s="205">
        <f t="shared" si="3"/>
        <v>52404.147701231705</v>
      </c>
      <c r="CY4" s="205">
        <f t="shared" si="3"/>
        <v>52404.147701231705</v>
      </c>
      <c r="CZ4" s="205">
        <f t="shared" si="3"/>
        <v>52404.147701231705</v>
      </c>
      <c r="DA4" s="205">
        <f t="shared" si="3"/>
        <v>52404.147701231705</v>
      </c>
      <c r="DB4" s="205"/>
    </row>
    <row r="5" spans="1:106">
      <c r="A5" s="202" t="str">
        <f>Income!A74</f>
        <v>Animal products consumed</v>
      </c>
      <c r="B5" s="204">
        <f>Income!B74</f>
        <v>0</v>
      </c>
      <c r="C5" s="204">
        <f>Income!C74</f>
        <v>640.42588776389903</v>
      </c>
      <c r="D5" s="204">
        <f>Income!D74</f>
        <v>731.91530030159879</v>
      </c>
      <c r="E5" s="204">
        <f>Income!E74</f>
        <v>2711.0289841824542</v>
      </c>
      <c r="F5" s="205">
        <f t="shared" si="4"/>
        <v>0</v>
      </c>
      <c r="G5" s="205">
        <f t="shared" si="0"/>
        <v>0</v>
      </c>
      <c r="H5" s="205">
        <f t="shared" si="0"/>
        <v>0</v>
      </c>
      <c r="I5" s="205">
        <f t="shared" si="0"/>
        <v>0</v>
      </c>
      <c r="J5" s="205">
        <f t="shared" si="0"/>
        <v>0</v>
      </c>
      <c r="K5" s="205">
        <f t="shared" si="0"/>
        <v>0</v>
      </c>
      <c r="L5" s="205">
        <f t="shared" si="0"/>
        <v>0</v>
      </c>
      <c r="M5" s="205">
        <f t="shared" si="0"/>
        <v>0</v>
      </c>
      <c r="N5" s="205">
        <f t="shared" si="0"/>
        <v>0</v>
      </c>
      <c r="O5" s="205">
        <f t="shared" si="0"/>
        <v>0</v>
      </c>
      <c r="P5" s="205">
        <f t="shared" si="0"/>
        <v>0</v>
      </c>
      <c r="Q5" s="205">
        <f t="shared" si="0"/>
        <v>0</v>
      </c>
      <c r="R5" s="205">
        <f t="shared" si="0"/>
        <v>0</v>
      </c>
      <c r="S5" s="205">
        <f t="shared" si="0"/>
        <v>0</v>
      </c>
      <c r="T5" s="205">
        <f t="shared" si="0"/>
        <v>0</v>
      </c>
      <c r="U5" s="205">
        <f t="shared" si="0"/>
        <v>0</v>
      </c>
      <c r="V5" s="205">
        <f t="shared" si="0"/>
        <v>0</v>
      </c>
      <c r="W5" s="205">
        <f t="shared" si="0"/>
        <v>0</v>
      </c>
      <c r="X5" s="205">
        <f t="shared" si="0"/>
        <v>0</v>
      </c>
      <c r="Y5" s="205">
        <f t="shared" si="0"/>
        <v>0</v>
      </c>
      <c r="Z5" s="205">
        <f t="shared" si="0"/>
        <v>0</v>
      </c>
      <c r="AA5" s="205">
        <f t="shared" si="0"/>
        <v>0</v>
      </c>
      <c r="AB5" s="205">
        <f t="shared" si="0"/>
        <v>0</v>
      </c>
      <c r="AC5" s="205">
        <f t="shared" si="0"/>
        <v>0</v>
      </c>
      <c r="AD5" s="205">
        <f t="shared" si="0"/>
        <v>0</v>
      </c>
      <c r="AE5" s="205">
        <f t="shared" si="0"/>
        <v>0</v>
      </c>
      <c r="AF5" s="205">
        <f t="shared" si="0"/>
        <v>0</v>
      </c>
      <c r="AG5" s="205">
        <f t="shared" si="0"/>
        <v>0</v>
      </c>
      <c r="AH5" s="205">
        <f t="shared" si="0"/>
        <v>0</v>
      </c>
      <c r="AI5" s="205">
        <f t="shared" si="0"/>
        <v>640.42588776389903</v>
      </c>
      <c r="AJ5" s="205">
        <f t="shared" si="0"/>
        <v>640.42588776389903</v>
      </c>
      <c r="AK5" s="205">
        <f t="shared" si="0"/>
        <v>640.42588776389903</v>
      </c>
      <c r="AL5" s="205">
        <f t="shared" si="0"/>
        <v>640.42588776389903</v>
      </c>
      <c r="AM5" s="205">
        <f t="shared" si="0"/>
        <v>640.42588776389903</v>
      </c>
      <c r="AN5" s="205">
        <f t="shared" si="0"/>
        <v>640.42588776389903</v>
      </c>
      <c r="AO5" s="205">
        <f t="shared" si="0"/>
        <v>640.42588776389903</v>
      </c>
      <c r="AP5" s="205">
        <f t="shared" si="0"/>
        <v>640.42588776389903</v>
      </c>
      <c r="AQ5" s="205">
        <f t="shared" si="0"/>
        <v>640.42588776389903</v>
      </c>
      <c r="AR5" s="205">
        <f t="shared" si="0"/>
        <v>640.42588776389903</v>
      </c>
      <c r="AS5" s="205">
        <f t="shared" si="0"/>
        <v>640.42588776389903</v>
      </c>
      <c r="AT5" s="205">
        <f t="shared" si="0"/>
        <v>640.42588776389903</v>
      </c>
      <c r="AU5" s="205">
        <f t="shared" si="0"/>
        <v>640.42588776389903</v>
      </c>
      <c r="AV5" s="205">
        <f t="shared" si="0"/>
        <v>640.42588776389903</v>
      </c>
      <c r="AW5" s="205">
        <f t="shared" si="0"/>
        <v>640.42588776389903</v>
      </c>
      <c r="AX5" s="205">
        <f t="shared" si="1"/>
        <v>640.42588776389903</v>
      </c>
      <c r="AY5" s="205">
        <f t="shared" si="1"/>
        <v>640.42588776389903</v>
      </c>
      <c r="AZ5" s="205">
        <f t="shared" si="1"/>
        <v>640.42588776389903</v>
      </c>
      <c r="BA5" s="205">
        <f t="shared" si="1"/>
        <v>640.42588776389903</v>
      </c>
      <c r="BB5" s="205">
        <f t="shared" si="1"/>
        <v>640.42588776389903</v>
      </c>
      <c r="BC5" s="205">
        <f t="shared" si="1"/>
        <v>640.42588776389903</v>
      </c>
      <c r="BD5" s="205">
        <f t="shared" si="1"/>
        <v>640.42588776389903</v>
      </c>
      <c r="BE5" s="205">
        <f t="shared" si="1"/>
        <v>640.42588776389903</v>
      </c>
      <c r="BF5" s="205">
        <f t="shared" si="1"/>
        <v>640.42588776389903</v>
      </c>
      <c r="BG5" s="205">
        <f t="shared" si="1"/>
        <v>640.42588776389903</v>
      </c>
      <c r="BH5" s="205">
        <f t="shared" si="1"/>
        <v>640.42588776389903</v>
      </c>
      <c r="BI5" s="205">
        <f t="shared" si="1"/>
        <v>640.42588776389903</v>
      </c>
      <c r="BJ5" s="205">
        <f t="shared" si="1"/>
        <v>640.42588776389903</v>
      </c>
      <c r="BK5" s="205">
        <f t="shared" si="1"/>
        <v>640.42588776389903</v>
      </c>
      <c r="BL5" s="205">
        <f t="shared" si="1"/>
        <v>640.42588776389903</v>
      </c>
      <c r="BM5" s="205">
        <f t="shared" si="1"/>
        <v>640.42588776389903</v>
      </c>
      <c r="BN5" s="205">
        <f t="shared" si="1"/>
        <v>640.42588776389903</v>
      </c>
      <c r="BO5" s="205">
        <f t="shared" si="1"/>
        <v>640.42588776389903</v>
      </c>
      <c r="BP5" s="205">
        <f t="shared" si="1"/>
        <v>640.42588776389903</v>
      </c>
      <c r="BQ5" s="205">
        <f t="shared" si="1"/>
        <v>640.42588776389903</v>
      </c>
      <c r="BR5" s="205">
        <f t="shared" si="1"/>
        <v>640.42588776389903</v>
      </c>
      <c r="BS5" s="205">
        <f t="shared" si="1"/>
        <v>640.42588776389903</v>
      </c>
      <c r="BT5" s="205">
        <f t="shared" si="1"/>
        <v>640.42588776389903</v>
      </c>
      <c r="BU5" s="205">
        <f t="shared" si="1"/>
        <v>640.42588776389903</v>
      </c>
      <c r="BV5" s="205">
        <f t="shared" si="1"/>
        <v>640.42588776389903</v>
      </c>
      <c r="BW5" s="205">
        <f t="shared" si="1"/>
        <v>640.42588776389903</v>
      </c>
      <c r="BX5" s="205">
        <f t="shared" si="1"/>
        <v>640.42588776389903</v>
      </c>
      <c r="BY5" s="205">
        <f t="shared" si="1"/>
        <v>731.91530030159879</v>
      </c>
      <c r="BZ5" s="205">
        <f t="shared" si="1"/>
        <v>731.91530030159879</v>
      </c>
      <c r="CA5" s="205">
        <f t="shared" si="2"/>
        <v>731.91530030159879</v>
      </c>
      <c r="CB5" s="205">
        <f t="shared" si="2"/>
        <v>731.91530030159879</v>
      </c>
      <c r="CC5" s="205">
        <f t="shared" si="2"/>
        <v>731.91530030159879</v>
      </c>
      <c r="CD5" s="205">
        <f t="shared" si="2"/>
        <v>731.91530030159879</v>
      </c>
      <c r="CE5" s="205">
        <f t="shared" si="2"/>
        <v>731.91530030159879</v>
      </c>
      <c r="CF5" s="205">
        <f t="shared" si="2"/>
        <v>731.91530030159879</v>
      </c>
      <c r="CG5" s="205">
        <f t="shared" si="2"/>
        <v>731.91530030159879</v>
      </c>
      <c r="CH5" s="205">
        <f t="shared" si="2"/>
        <v>731.91530030159879</v>
      </c>
      <c r="CI5" s="205">
        <f t="shared" si="2"/>
        <v>731.91530030159879</v>
      </c>
      <c r="CJ5" s="205">
        <f t="shared" si="2"/>
        <v>731.91530030159879</v>
      </c>
      <c r="CK5" s="205">
        <f t="shared" si="2"/>
        <v>731.91530030159879</v>
      </c>
      <c r="CL5" s="205">
        <f t="shared" si="2"/>
        <v>731.91530030159879</v>
      </c>
      <c r="CM5" s="205">
        <f t="shared" si="2"/>
        <v>731.91530030159879</v>
      </c>
      <c r="CN5" s="205">
        <f t="shared" si="2"/>
        <v>731.91530030159879</v>
      </c>
      <c r="CO5" s="205">
        <f t="shared" si="2"/>
        <v>731.91530030159879</v>
      </c>
      <c r="CP5" s="205">
        <f t="shared" si="2"/>
        <v>731.91530030159879</v>
      </c>
      <c r="CQ5" s="205">
        <f t="shared" si="2"/>
        <v>2711.0289841824542</v>
      </c>
      <c r="CR5" s="205">
        <f t="shared" si="2"/>
        <v>2711.0289841824542</v>
      </c>
      <c r="CS5" s="205">
        <f t="shared" si="3"/>
        <v>2711.0289841824542</v>
      </c>
      <c r="CT5" s="205">
        <f t="shared" si="3"/>
        <v>2711.0289841824542</v>
      </c>
      <c r="CU5" s="205">
        <f t="shared" si="3"/>
        <v>2711.0289841824542</v>
      </c>
      <c r="CV5" s="205">
        <f t="shared" si="3"/>
        <v>2711.0289841824542</v>
      </c>
      <c r="CW5" s="205">
        <f t="shared" si="3"/>
        <v>2711.0289841824542</v>
      </c>
      <c r="CX5" s="205">
        <f t="shared" si="3"/>
        <v>2711.0289841824542</v>
      </c>
      <c r="CY5" s="205">
        <f t="shared" si="3"/>
        <v>2711.0289841824542</v>
      </c>
      <c r="CZ5" s="205">
        <f t="shared" si="3"/>
        <v>2711.0289841824542</v>
      </c>
      <c r="DA5" s="205">
        <f t="shared" si="3"/>
        <v>2711.0289841824542</v>
      </c>
      <c r="DB5" s="205"/>
    </row>
    <row r="6" spans="1:106">
      <c r="A6" s="202" t="str">
        <f>Income!A75</f>
        <v>Animal products sold</v>
      </c>
      <c r="B6" s="204">
        <f>Income!B75</f>
        <v>0</v>
      </c>
      <c r="C6" s="204">
        <f>Income!C75</f>
        <v>0</v>
      </c>
      <c r="D6" s="204">
        <f>Income!D75</f>
        <v>0</v>
      </c>
      <c r="E6" s="204">
        <f>Income!E75</f>
        <v>0</v>
      </c>
      <c r="F6" s="205">
        <f t="shared" si="4"/>
        <v>0</v>
      </c>
      <c r="G6" s="205">
        <f t="shared" si="0"/>
        <v>0</v>
      </c>
      <c r="H6" s="205">
        <f t="shared" si="0"/>
        <v>0</v>
      </c>
      <c r="I6" s="205">
        <f t="shared" si="0"/>
        <v>0</v>
      </c>
      <c r="J6" s="205">
        <f t="shared" si="0"/>
        <v>0</v>
      </c>
      <c r="K6" s="205">
        <f t="shared" si="0"/>
        <v>0</v>
      </c>
      <c r="L6" s="205">
        <f t="shared" si="0"/>
        <v>0</v>
      </c>
      <c r="M6" s="205">
        <f t="shared" si="0"/>
        <v>0</v>
      </c>
      <c r="N6" s="205">
        <f t="shared" si="0"/>
        <v>0</v>
      </c>
      <c r="O6" s="205">
        <f t="shared" si="0"/>
        <v>0</v>
      </c>
      <c r="P6" s="205">
        <f t="shared" si="0"/>
        <v>0</v>
      </c>
      <c r="Q6" s="205">
        <f t="shared" si="0"/>
        <v>0</v>
      </c>
      <c r="R6" s="205">
        <f t="shared" si="0"/>
        <v>0</v>
      </c>
      <c r="S6" s="205">
        <f t="shared" si="0"/>
        <v>0</v>
      </c>
      <c r="T6" s="205">
        <f t="shared" si="0"/>
        <v>0</v>
      </c>
      <c r="U6" s="205">
        <f t="shared" si="0"/>
        <v>0</v>
      </c>
      <c r="V6" s="205">
        <f t="shared" si="0"/>
        <v>0</v>
      </c>
      <c r="W6" s="205">
        <f t="shared" si="0"/>
        <v>0</v>
      </c>
      <c r="X6" s="205">
        <f t="shared" si="0"/>
        <v>0</v>
      </c>
      <c r="Y6" s="205">
        <f t="shared" si="0"/>
        <v>0</v>
      </c>
      <c r="Z6" s="205">
        <f t="shared" si="0"/>
        <v>0</v>
      </c>
      <c r="AA6" s="205">
        <f t="shared" si="0"/>
        <v>0</v>
      </c>
      <c r="AB6" s="205">
        <f t="shared" si="0"/>
        <v>0</v>
      </c>
      <c r="AC6" s="205">
        <f t="shared" si="0"/>
        <v>0</v>
      </c>
      <c r="AD6" s="205">
        <f t="shared" si="0"/>
        <v>0</v>
      </c>
      <c r="AE6" s="205">
        <f t="shared" si="0"/>
        <v>0</v>
      </c>
      <c r="AF6" s="205">
        <f t="shared" si="0"/>
        <v>0</v>
      </c>
      <c r="AG6" s="205">
        <f t="shared" si="0"/>
        <v>0</v>
      </c>
      <c r="AH6" s="205">
        <f t="shared" si="0"/>
        <v>0</v>
      </c>
      <c r="AI6" s="205">
        <f t="shared" si="0"/>
        <v>0</v>
      </c>
      <c r="AJ6" s="205">
        <f t="shared" si="0"/>
        <v>0</v>
      </c>
      <c r="AK6" s="205">
        <f t="shared" si="0"/>
        <v>0</v>
      </c>
      <c r="AL6" s="205">
        <f t="shared" si="0"/>
        <v>0</v>
      </c>
      <c r="AM6" s="205">
        <f t="shared" si="0"/>
        <v>0</v>
      </c>
      <c r="AN6" s="205">
        <f t="shared" si="0"/>
        <v>0</v>
      </c>
      <c r="AO6" s="205">
        <f t="shared" si="0"/>
        <v>0</v>
      </c>
      <c r="AP6" s="205">
        <f t="shared" si="0"/>
        <v>0</v>
      </c>
      <c r="AQ6" s="205">
        <f t="shared" si="0"/>
        <v>0</v>
      </c>
      <c r="AR6" s="205">
        <f t="shared" si="0"/>
        <v>0</v>
      </c>
      <c r="AS6" s="205">
        <f t="shared" si="0"/>
        <v>0</v>
      </c>
      <c r="AT6" s="205">
        <f t="shared" si="0"/>
        <v>0</v>
      </c>
      <c r="AU6" s="205">
        <f t="shared" si="0"/>
        <v>0</v>
      </c>
      <c r="AV6" s="205">
        <f t="shared" si="0"/>
        <v>0</v>
      </c>
      <c r="AW6" s="205">
        <f t="shared" si="0"/>
        <v>0</v>
      </c>
      <c r="AX6" s="205">
        <f t="shared" si="1"/>
        <v>0</v>
      </c>
      <c r="AY6" s="205">
        <f t="shared" si="1"/>
        <v>0</v>
      </c>
      <c r="AZ6" s="205">
        <f t="shared" si="1"/>
        <v>0</v>
      </c>
      <c r="BA6" s="205">
        <f t="shared" si="1"/>
        <v>0</v>
      </c>
      <c r="BB6" s="205">
        <f t="shared" si="1"/>
        <v>0</v>
      </c>
      <c r="BC6" s="205">
        <f t="shared" si="1"/>
        <v>0</v>
      </c>
      <c r="BD6" s="205">
        <f t="shared" si="1"/>
        <v>0</v>
      </c>
      <c r="BE6" s="205">
        <f t="shared" si="1"/>
        <v>0</v>
      </c>
      <c r="BF6" s="205">
        <f t="shared" si="1"/>
        <v>0</v>
      </c>
      <c r="BG6" s="205">
        <f t="shared" si="1"/>
        <v>0</v>
      </c>
      <c r="BH6" s="205">
        <f t="shared" si="1"/>
        <v>0</v>
      </c>
      <c r="BI6" s="205">
        <f t="shared" si="1"/>
        <v>0</v>
      </c>
      <c r="BJ6" s="205">
        <f t="shared" si="1"/>
        <v>0</v>
      </c>
      <c r="BK6" s="205">
        <f t="shared" si="1"/>
        <v>0</v>
      </c>
      <c r="BL6" s="205">
        <f t="shared" si="1"/>
        <v>0</v>
      </c>
      <c r="BM6" s="205">
        <f t="shared" si="1"/>
        <v>0</v>
      </c>
      <c r="BN6" s="205">
        <f t="shared" si="1"/>
        <v>0</v>
      </c>
      <c r="BO6" s="205">
        <f t="shared" si="1"/>
        <v>0</v>
      </c>
      <c r="BP6" s="205">
        <f t="shared" si="1"/>
        <v>0</v>
      </c>
      <c r="BQ6" s="205">
        <f t="shared" si="1"/>
        <v>0</v>
      </c>
      <c r="BR6" s="205">
        <f t="shared" si="1"/>
        <v>0</v>
      </c>
      <c r="BS6" s="205">
        <f t="shared" si="1"/>
        <v>0</v>
      </c>
      <c r="BT6" s="205">
        <f t="shared" si="1"/>
        <v>0</v>
      </c>
      <c r="BU6" s="205">
        <f t="shared" si="1"/>
        <v>0</v>
      </c>
      <c r="BV6" s="205">
        <f t="shared" si="1"/>
        <v>0</v>
      </c>
      <c r="BW6" s="205">
        <f t="shared" si="1"/>
        <v>0</v>
      </c>
      <c r="BX6" s="205">
        <f t="shared" si="1"/>
        <v>0</v>
      </c>
      <c r="BY6" s="205">
        <f t="shared" si="1"/>
        <v>0</v>
      </c>
      <c r="BZ6" s="205">
        <f t="shared" si="1"/>
        <v>0</v>
      </c>
      <c r="CA6" s="205">
        <f t="shared" si="2"/>
        <v>0</v>
      </c>
      <c r="CB6" s="205">
        <f t="shared" si="2"/>
        <v>0</v>
      </c>
      <c r="CC6" s="205">
        <f t="shared" si="2"/>
        <v>0</v>
      </c>
      <c r="CD6" s="205">
        <f t="shared" si="2"/>
        <v>0</v>
      </c>
      <c r="CE6" s="205">
        <f t="shared" si="2"/>
        <v>0</v>
      </c>
      <c r="CF6" s="205">
        <f t="shared" si="2"/>
        <v>0</v>
      </c>
      <c r="CG6" s="205">
        <f t="shared" si="2"/>
        <v>0</v>
      </c>
      <c r="CH6" s="205">
        <f t="shared" si="2"/>
        <v>0</v>
      </c>
      <c r="CI6" s="205">
        <f t="shared" si="2"/>
        <v>0</v>
      </c>
      <c r="CJ6" s="205">
        <f t="shared" si="2"/>
        <v>0</v>
      </c>
      <c r="CK6" s="205">
        <f t="shared" si="2"/>
        <v>0</v>
      </c>
      <c r="CL6" s="205">
        <f t="shared" si="2"/>
        <v>0</v>
      </c>
      <c r="CM6" s="205">
        <f t="shared" si="2"/>
        <v>0</v>
      </c>
      <c r="CN6" s="205">
        <f t="shared" si="2"/>
        <v>0</v>
      </c>
      <c r="CO6" s="205">
        <f t="shared" si="2"/>
        <v>0</v>
      </c>
      <c r="CP6" s="205">
        <f t="shared" si="2"/>
        <v>0</v>
      </c>
      <c r="CQ6" s="205">
        <f t="shared" si="2"/>
        <v>0</v>
      </c>
      <c r="CR6" s="205">
        <f t="shared" si="2"/>
        <v>0</v>
      </c>
      <c r="CS6" s="205">
        <f t="shared" si="3"/>
        <v>0</v>
      </c>
      <c r="CT6" s="205">
        <f t="shared" si="3"/>
        <v>0</v>
      </c>
      <c r="CU6" s="205">
        <f t="shared" si="3"/>
        <v>0</v>
      </c>
      <c r="CV6" s="205">
        <f t="shared" si="3"/>
        <v>0</v>
      </c>
      <c r="CW6" s="205">
        <f t="shared" si="3"/>
        <v>0</v>
      </c>
      <c r="CX6" s="205">
        <f t="shared" si="3"/>
        <v>0</v>
      </c>
      <c r="CY6" s="205">
        <f t="shared" si="3"/>
        <v>0</v>
      </c>
      <c r="CZ6" s="205">
        <f t="shared" si="3"/>
        <v>0</v>
      </c>
      <c r="DA6" s="205">
        <f t="shared" si="3"/>
        <v>0</v>
      </c>
      <c r="DB6" s="205"/>
    </row>
    <row r="7" spans="1:106">
      <c r="A7" s="202" t="str">
        <f>Income!A76</f>
        <v>Animals sold</v>
      </c>
      <c r="B7" s="204">
        <f>Income!B76</f>
        <v>0</v>
      </c>
      <c r="C7" s="204">
        <f>Income!C76</f>
        <v>7413.748488798682</v>
      </c>
      <c r="D7" s="204">
        <f>Income!D76</f>
        <v>15201.864738543682</v>
      </c>
      <c r="E7" s="204">
        <f>Income!E76</f>
        <v>28866.069595487545</v>
      </c>
      <c r="F7" s="205">
        <f t="shared" si="4"/>
        <v>0</v>
      </c>
      <c r="G7" s="205">
        <f t="shared" si="0"/>
        <v>0</v>
      </c>
      <c r="H7" s="205">
        <f t="shared" si="0"/>
        <v>0</v>
      </c>
      <c r="I7" s="205">
        <f t="shared" si="0"/>
        <v>0</v>
      </c>
      <c r="J7" s="205">
        <f t="shared" si="0"/>
        <v>0</v>
      </c>
      <c r="K7" s="205">
        <f t="shared" si="0"/>
        <v>0</v>
      </c>
      <c r="L7" s="205">
        <f t="shared" si="0"/>
        <v>0</v>
      </c>
      <c r="M7" s="205">
        <f t="shared" si="0"/>
        <v>0</v>
      </c>
      <c r="N7" s="205">
        <f t="shared" si="0"/>
        <v>0</v>
      </c>
      <c r="O7" s="205">
        <f t="shared" si="0"/>
        <v>0</v>
      </c>
      <c r="P7" s="205">
        <f t="shared" si="0"/>
        <v>0</v>
      </c>
      <c r="Q7" s="205">
        <f t="shared" si="0"/>
        <v>0</v>
      </c>
      <c r="R7" s="205">
        <f t="shared" si="0"/>
        <v>0</v>
      </c>
      <c r="S7" s="205">
        <f t="shared" si="0"/>
        <v>0</v>
      </c>
      <c r="T7" s="205">
        <f t="shared" si="0"/>
        <v>0</v>
      </c>
      <c r="U7" s="205">
        <f t="shared" si="0"/>
        <v>0</v>
      </c>
      <c r="V7" s="205">
        <f t="shared" si="0"/>
        <v>0</v>
      </c>
      <c r="W7" s="205">
        <f t="shared" si="0"/>
        <v>0</v>
      </c>
      <c r="X7" s="205">
        <f t="shared" si="0"/>
        <v>0</v>
      </c>
      <c r="Y7" s="205">
        <f t="shared" si="0"/>
        <v>0</v>
      </c>
      <c r="Z7" s="205">
        <f t="shared" si="0"/>
        <v>0</v>
      </c>
      <c r="AA7" s="205">
        <f t="shared" si="0"/>
        <v>0</v>
      </c>
      <c r="AB7" s="205">
        <f t="shared" si="0"/>
        <v>0</v>
      </c>
      <c r="AC7" s="205">
        <f t="shared" si="0"/>
        <v>0</v>
      </c>
      <c r="AD7" s="205">
        <f t="shared" si="0"/>
        <v>0</v>
      </c>
      <c r="AE7" s="205">
        <f t="shared" si="0"/>
        <v>0</v>
      </c>
      <c r="AF7" s="205">
        <f t="shared" si="0"/>
        <v>0</v>
      </c>
      <c r="AG7" s="205">
        <f t="shared" si="0"/>
        <v>0</v>
      </c>
      <c r="AH7" s="205">
        <f t="shared" si="0"/>
        <v>0</v>
      </c>
      <c r="AI7" s="205">
        <f t="shared" si="0"/>
        <v>7413.748488798682</v>
      </c>
      <c r="AJ7" s="205">
        <f t="shared" si="0"/>
        <v>7413.748488798682</v>
      </c>
      <c r="AK7" s="205">
        <f t="shared" si="0"/>
        <v>7413.748488798682</v>
      </c>
      <c r="AL7" s="205">
        <f t="shared" si="0"/>
        <v>7413.748488798682</v>
      </c>
      <c r="AM7" s="205">
        <f t="shared" si="0"/>
        <v>7413.748488798682</v>
      </c>
      <c r="AN7" s="205">
        <f t="shared" si="0"/>
        <v>7413.748488798682</v>
      </c>
      <c r="AO7" s="205">
        <f t="shared" si="0"/>
        <v>7413.748488798682</v>
      </c>
      <c r="AP7" s="205">
        <f t="shared" si="0"/>
        <v>7413.748488798682</v>
      </c>
      <c r="AQ7" s="205">
        <f t="shared" si="0"/>
        <v>7413.748488798682</v>
      </c>
      <c r="AR7" s="205">
        <f t="shared" si="0"/>
        <v>7413.748488798682</v>
      </c>
      <c r="AS7" s="205">
        <f t="shared" si="0"/>
        <v>7413.748488798682</v>
      </c>
      <c r="AT7" s="205">
        <f t="shared" si="0"/>
        <v>7413.748488798682</v>
      </c>
      <c r="AU7" s="205">
        <f t="shared" ref="AU7:BJ8" si="5">IF(AU$2&lt;=($B$2+$C$2+$D$2),IF(AU$2&lt;=($B$2+$C$2),IF(AU$2&lt;=$B$2,$B7,$C7),$D7),$E7)</f>
        <v>7413.748488798682</v>
      </c>
      <c r="AV7" s="205">
        <f t="shared" si="5"/>
        <v>7413.748488798682</v>
      </c>
      <c r="AW7" s="205">
        <f t="shared" si="5"/>
        <v>7413.748488798682</v>
      </c>
      <c r="AX7" s="205">
        <f t="shared" si="5"/>
        <v>7413.748488798682</v>
      </c>
      <c r="AY7" s="205">
        <f t="shared" si="5"/>
        <v>7413.748488798682</v>
      </c>
      <c r="AZ7" s="205">
        <f t="shared" si="5"/>
        <v>7413.748488798682</v>
      </c>
      <c r="BA7" s="205">
        <f t="shared" si="5"/>
        <v>7413.748488798682</v>
      </c>
      <c r="BB7" s="205">
        <f t="shared" si="5"/>
        <v>7413.748488798682</v>
      </c>
      <c r="BC7" s="205">
        <f t="shared" si="5"/>
        <v>7413.748488798682</v>
      </c>
      <c r="BD7" s="205">
        <f t="shared" si="5"/>
        <v>7413.748488798682</v>
      </c>
      <c r="BE7" s="205">
        <f t="shared" si="5"/>
        <v>7413.748488798682</v>
      </c>
      <c r="BF7" s="205">
        <f t="shared" si="5"/>
        <v>7413.748488798682</v>
      </c>
      <c r="BG7" s="205">
        <f t="shared" si="5"/>
        <v>7413.748488798682</v>
      </c>
      <c r="BH7" s="205">
        <f t="shared" si="5"/>
        <v>7413.748488798682</v>
      </c>
      <c r="BI7" s="205">
        <f t="shared" si="5"/>
        <v>7413.748488798682</v>
      </c>
      <c r="BJ7" s="205">
        <f t="shared" si="5"/>
        <v>7413.748488798682</v>
      </c>
      <c r="BK7" s="205">
        <f t="shared" si="1"/>
        <v>7413.748488798682</v>
      </c>
      <c r="BL7" s="205">
        <f t="shared" si="1"/>
        <v>7413.748488798682</v>
      </c>
      <c r="BM7" s="205">
        <f t="shared" si="1"/>
        <v>7413.748488798682</v>
      </c>
      <c r="BN7" s="205">
        <f t="shared" si="1"/>
        <v>7413.748488798682</v>
      </c>
      <c r="BO7" s="205">
        <f t="shared" si="1"/>
        <v>7413.748488798682</v>
      </c>
      <c r="BP7" s="205">
        <f t="shared" si="1"/>
        <v>7413.748488798682</v>
      </c>
      <c r="BQ7" s="205">
        <f t="shared" si="1"/>
        <v>7413.748488798682</v>
      </c>
      <c r="BR7" s="205">
        <f t="shared" si="1"/>
        <v>7413.748488798682</v>
      </c>
      <c r="BS7" s="205">
        <f t="shared" si="1"/>
        <v>7413.748488798682</v>
      </c>
      <c r="BT7" s="205">
        <f t="shared" si="1"/>
        <v>7413.748488798682</v>
      </c>
      <c r="BU7" s="205">
        <f t="shared" si="1"/>
        <v>7413.748488798682</v>
      </c>
      <c r="BV7" s="205">
        <f t="shared" si="1"/>
        <v>7413.748488798682</v>
      </c>
      <c r="BW7" s="205">
        <f t="shared" si="1"/>
        <v>7413.748488798682</v>
      </c>
      <c r="BX7" s="205">
        <f t="shared" si="1"/>
        <v>7413.748488798682</v>
      </c>
      <c r="BY7" s="205">
        <f t="shared" si="1"/>
        <v>15201.864738543682</v>
      </c>
      <c r="BZ7" s="205">
        <f t="shared" si="1"/>
        <v>15201.864738543682</v>
      </c>
      <c r="CA7" s="205">
        <f t="shared" si="2"/>
        <v>15201.864738543682</v>
      </c>
      <c r="CB7" s="205">
        <f t="shared" si="2"/>
        <v>15201.864738543682</v>
      </c>
      <c r="CC7" s="205">
        <f t="shared" si="2"/>
        <v>15201.864738543682</v>
      </c>
      <c r="CD7" s="205">
        <f t="shared" si="2"/>
        <v>15201.864738543682</v>
      </c>
      <c r="CE7" s="205">
        <f t="shared" si="2"/>
        <v>15201.864738543682</v>
      </c>
      <c r="CF7" s="205">
        <f t="shared" si="2"/>
        <v>15201.864738543682</v>
      </c>
      <c r="CG7" s="205">
        <f t="shared" si="2"/>
        <v>15201.864738543682</v>
      </c>
      <c r="CH7" s="205">
        <f t="shared" si="2"/>
        <v>15201.864738543682</v>
      </c>
      <c r="CI7" s="205">
        <f t="shared" si="2"/>
        <v>15201.864738543682</v>
      </c>
      <c r="CJ7" s="205">
        <f t="shared" si="2"/>
        <v>15201.864738543682</v>
      </c>
      <c r="CK7" s="205">
        <f t="shared" si="2"/>
        <v>15201.864738543682</v>
      </c>
      <c r="CL7" s="205">
        <f t="shared" si="2"/>
        <v>15201.864738543682</v>
      </c>
      <c r="CM7" s="205">
        <f t="shared" si="2"/>
        <v>15201.864738543682</v>
      </c>
      <c r="CN7" s="205">
        <f t="shared" si="2"/>
        <v>15201.864738543682</v>
      </c>
      <c r="CO7" s="205">
        <f t="shared" si="2"/>
        <v>15201.864738543682</v>
      </c>
      <c r="CP7" s="205">
        <f t="shared" si="2"/>
        <v>15201.864738543682</v>
      </c>
      <c r="CQ7" s="205">
        <f t="shared" si="2"/>
        <v>28866.069595487545</v>
      </c>
      <c r="CR7" s="205">
        <f t="shared" si="2"/>
        <v>28866.069595487545</v>
      </c>
      <c r="CS7" s="205">
        <f t="shared" si="3"/>
        <v>28866.069595487545</v>
      </c>
      <c r="CT7" s="205">
        <f t="shared" si="3"/>
        <v>28866.069595487545</v>
      </c>
      <c r="CU7" s="205">
        <f t="shared" si="3"/>
        <v>28866.069595487545</v>
      </c>
      <c r="CV7" s="205">
        <f t="shared" si="3"/>
        <v>28866.069595487545</v>
      </c>
      <c r="CW7" s="205">
        <f t="shared" si="3"/>
        <v>28866.069595487545</v>
      </c>
      <c r="CX7" s="205">
        <f t="shared" si="3"/>
        <v>28866.069595487545</v>
      </c>
      <c r="CY7" s="205">
        <f t="shared" si="3"/>
        <v>28866.069595487545</v>
      </c>
      <c r="CZ7" s="205">
        <f t="shared" si="3"/>
        <v>28866.069595487545</v>
      </c>
      <c r="DA7" s="205">
        <f t="shared" si="3"/>
        <v>28866.069595487545</v>
      </c>
      <c r="DB7" s="205"/>
    </row>
    <row r="8" spans="1:106">
      <c r="A8" s="202" t="str">
        <f>Income!A77</f>
        <v>Wild foods consumed and sold</v>
      </c>
      <c r="B8" s="204">
        <f>Income!B77</f>
        <v>1178.925965619884</v>
      </c>
      <c r="C8" s="204">
        <f>Income!C77</f>
        <v>365.17809838714737</v>
      </c>
      <c r="D8" s="204">
        <f>Income!D77</f>
        <v>0</v>
      </c>
      <c r="E8" s="204">
        <f>Income!E77</f>
        <v>0</v>
      </c>
      <c r="F8" s="205">
        <f t="shared" si="4"/>
        <v>1178.925965619884</v>
      </c>
      <c r="G8" s="205">
        <f t="shared" si="4"/>
        <v>1178.925965619884</v>
      </c>
      <c r="H8" s="205">
        <f t="shared" si="4"/>
        <v>1178.925965619884</v>
      </c>
      <c r="I8" s="205">
        <f t="shared" si="4"/>
        <v>1178.925965619884</v>
      </c>
      <c r="J8" s="205">
        <f t="shared" si="4"/>
        <v>1178.925965619884</v>
      </c>
      <c r="K8" s="205">
        <f t="shared" si="4"/>
        <v>1178.925965619884</v>
      </c>
      <c r="L8" s="205">
        <f t="shared" si="4"/>
        <v>1178.925965619884</v>
      </c>
      <c r="M8" s="205">
        <f t="shared" si="4"/>
        <v>1178.925965619884</v>
      </c>
      <c r="N8" s="205">
        <f t="shared" si="4"/>
        <v>1178.925965619884</v>
      </c>
      <c r="O8" s="205">
        <f t="shared" si="4"/>
        <v>1178.925965619884</v>
      </c>
      <c r="P8" s="205">
        <f t="shared" si="4"/>
        <v>1178.925965619884</v>
      </c>
      <c r="Q8" s="205">
        <f t="shared" si="4"/>
        <v>1178.925965619884</v>
      </c>
      <c r="R8" s="205">
        <f t="shared" si="4"/>
        <v>1178.925965619884</v>
      </c>
      <c r="S8" s="205">
        <f t="shared" si="4"/>
        <v>1178.925965619884</v>
      </c>
      <c r="T8" s="205">
        <f t="shared" si="4"/>
        <v>1178.925965619884</v>
      </c>
      <c r="U8" s="205">
        <f t="shared" si="4"/>
        <v>1178.925965619884</v>
      </c>
      <c r="V8" s="205">
        <f t="shared" ref="V8:AK18" si="6">IF(V$2&lt;=($B$2+$C$2+$D$2),IF(V$2&lt;=($B$2+$C$2),IF(V$2&lt;=$B$2,$B8,$C8),$D8),$E8)</f>
        <v>1178.925965619884</v>
      </c>
      <c r="W8" s="205">
        <f t="shared" si="6"/>
        <v>1178.925965619884</v>
      </c>
      <c r="X8" s="205">
        <f t="shared" si="6"/>
        <v>1178.925965619884</v>
      </c>
      <c r="Y8" s="205">
        <f t="shared" si="6"/>
        <v>1178.925965619884</v>
      </c>
      <c r="Z8" s="205">
        <f t="shared" si="6"/>
        <v>1178.925965619884</v>
      </c>
      <c r="AA8" s="205">
        <f t="shared" si="6"/>
        <v>1178.925965619884</v>
      </c>
      <c r="AB8" s="205">
        <f t="shared" si="6"/>
        <v>1178.925965619884</v>
      </c>
      <c r="AC8" s="205">
        <f t="shared" si="6"/>
        <v>1178.925965619884</v>
      </c>
      <c r="AD8" s="205">
        <f t="shared" si="6"/>
        <v>1178.925965619884</v>
      </c>
      <c r="AE8" s="205">
        <f t="shared" si="6"/>
        <v>1178.925965619884</v>
      </c>
      <c r="AF8" s="205">
        <f t="shared" si="6"/>
        <v>1178.925965619884</v>
      </c>
      <c r="AG8" s="205">
        <f t="shared" si="6"/>
        <v>1178.925965619884</v>
      </c>
      <c r="AH8" s="205">
        <f t="shared" si="6"/>
        <v>1178.925965619884</v>
      </c>
      <c r="AI8" s="205">
        <f t="shared" si="6"/>
        <v>365.17809838714737</v>
      </c>
      <c r="AJ8" s="205">
        <f t="shared" si="6"/>
        <v>365.17809838714737</v>
      </c>
      <c r="AK8" s="205">
        <f t="shared" si="6"/>
        <v>365.17809838714737</v>
      </c>
      <c r="AL8" s="205">
        <f t="shared" ref="AL8:BA18" si="7">IF(AL$2&lt;=($B$2+$C$2+$D$2),IF(AL$2&lt;=($B$2+$C$2),IF(AL$2&lt;=$B$2,$B8,$C8),$D8),$E8)</f>
        <v>365.17809838714737</v>
      </c>
      <c r="AM8" s="205">
        <f t="shared" si="7"/>
        <v>365.17809838714737</v>
      </c>
      <c r="AN8" s="205">
        <f t="shared" si="7"/>
        <v>365.17809838714737</v>
      </c>
      <c r="AO8" s="205">
        <f t="shared" si="7"/>
        <v>365.17809838714737</v>
      </c>
      <c r="AP8" s="205">
        <f t="shared" si="7"/>
        <v>365.17809838714737</v>
      </c>
      <c r="AQ8" s="205">
        <f t="shared" si="7"/>
        <v>365.17809838714737</v>
      </c>
      <c r="AR8" s="205">
        <f t="shared" si="7"/>
        <v>365.17809838714737</v>
      </c>
      <c r="AS8" s="205">
        <f t="shared" si="7"/>
        <v>365.17809838714737</v>
      </c>
      <c r="AT8" s="205">
        <f t="shared" si="7"/>
        <v>365.17809838714737</v>
      </c>
      <c r="AU8" s="205">
        <f t="shared" si="7"/>
        <v>365.17809838714737</v>
      </c>
      <c r="AV8" s="205">
        <f t="shared" si="7"/>
        <v>365.17809838714737</v>
      </c>
      <c r="AW8" s="205">
        <f t="shared" si="7"/>
        <v>365.17809838714737</v>
      </c>
      <c r="AX8" s="205">
        <f t="shared" si="7"/>
        <v>365.17809838714737</v>
      </c>
      <c r="AY8" s="205">
        <f t="shared" si="7"/>
        <v>365.17809838714737</v>
      </c>
      <c r="AZ8" s="205">
        <f t="shared" si="7"/>
        <v>365.17809838714737</v>
      </c>
      <c r="BA8" s="205">
        <f t="shared" si="7"/>
        <v>365.17809838714737</v>
      </c>
      <c r="BB8" s="205">
        <f t="shared" si="5"/>
        <v>365.17809838714737</v>
      </c>
      <c r="BC8" s="205">
        <f t="shared" si="5"/>
        <v>365.17809838714737</v>
      </c>
      <c r="BD8" s="205">
        <f t="shared" si="5"/>
        <v>365.17809838714737</v>
      </c>
      <c r="BE8" s="205">
        <f t="shared" si="5"/>
        <v>365.17809838714737</v>
      </c>
      <c r="BF8" s="205">
        <f t="shared" si="5"/>
        <v>365.17809838714737</v>
      </c>
      <c r="BG8" s="205">
        <f t="shared" si="5"/>
        <v>365.17809838714737</v>
      </c>
      <c r="BH8" s="205">
        <f t="shared" si="5"/>
        <v>365.17809838714737</v>
      </c>
      <c r="BI8" s="205">
        <f t="shared" si="5"/>
        <v>365.17809838714737</v>
      </c>
      <c r="BJ8" s="205">
        <f t="shared" si="5"/>
        <v>365.17809838714737</v>
      </c>
      <c r="BK8" s="205">
        <f t="shared" si="1"/>
        <v>365.17809838714737</v>
      </c>
      <c r="BL8" s="205">
        <f t="shared" si="1"/>
        <v>365.17809838714737</v>
      </c>
      <c r="BM8" s="205">
        <f t="shared" si="1"/>
        <v>365.17809838714737</v>
      </c>
      <c r="BN8" s="205">
        <f t="shared" si="1"/>
        <v>365.17809838714737</v>
      </c>
      <c r="BO8" s="205">
        <f t="shared" si="1"/>
        <v>365.17809838714737</v>
      </c>
      <c r="BP8" s="205">
        <f t="shared" si="1"/>
        <v>365.17809838714737</v>
      </c>
      <c r="BQ8" s="205">
        <f t="shared" si="1"/>
        <v>365.17809838714737</v>
      </c>
      <c r="BR8" s="205">
        <f t="shared" si="1"/>
        <v>365.17809838714737</v>
      </c>
      <c r="BS8" s="205">
        <f t="shared" si="1"/>
        <v>365.17809838714737</v>
      </c>
      <c r="BT8" s="205">
        <f t="shared" si="1"/>
        <v>365.17809838714737</v>
      </c>
      <c r="BU8" s="205">
        <f t="shared" si="1"/>
        <v>365.17809838714737</v>
      </c>
      <c r="BV8" s="205">
        <f t="shared" si="1"/>
        <v>365.17809838714737</v>
      </c>
      <c r="BW8" s="205">
        <f t="shared" si="1"/>
        <v>365.17809838714737</v>
      </c>
      <c r="BX8" s="205">
        <f t="shared" si="1"/>
        <v>365.17809838714737</v>
      </c>
      <c r="BY8" s="205">
        <f t="shared" si="1"/>
        <v>0</v>
      </c>
      <c r="BZ8" s="205">
        <f t="shared" si="1"/>
        <v>0</v>
      </c>
      <c r="CA8" s="205">
        <f t="shared" si="2"/>
        <v>0</v>
      </c>
      <c r="CB8" s="205">
        <f t="shared" si="2"/>
        <v>0</v>
      </c>
      <c r="CC8" s="205">
        <f t="shared" si="2"/>
        <v>0</v>
      </c>
      <c r="CD8" s="205">
        <f t="shared" si="2"/>
        <v>0</v>
      </c>
      <c r="CE8" s="205">
        <f t="shared" si="2"/>
        <v>0</v>
      </c>
      <c r="CF8" s="205">
        <f t="shared" si="2"/>
        <v>0</v>
      </c>
      <c r="CG8" s="205">
        <f t="shared" si="2"/>
        <v>0</v>
      </c>
      <c r="CH8" s="205">
        <f t="shared" si="2"/>
        <v>0</v>
      </c>
      <c r="CI8" s="205">
        <f t="shared" si="2"/>
        <v>0</v>
      </c>
      <c r="CJ8" s="205">
        <f t="shared" si="2"/>
        <v>0</v>
      </c>
      <c r="CK8" s="205">
        <f t="shared" si="2"/>
        <v>0</v>
      </c>
      <c r="CL8" s="205">
        <f t="shared" si="2"/>
        <v>0</v>
      </c>
      <c r="CM8" s="205">
        <f t="shared" si="2"/>
        <v>0</v>
      </c>
      <c r="CN8" s="205">
        <f t="shared" si="2"/>
        <v>0</v>
      </c>
      <c r="CO8" s="205">
        <f t="shared" si="2"/>
        <v>0</v>
      </c>
      <c r="CP8" s="205">
        <f t="shared" si="2"/>
        <v>0</v>
      </c>
      <c r="CQ8" s="205">
        <f t="shared" si="2"/>
        <v>0</v>
      </c>
      <c r="CR8" s="205">
        <f t="shared" si="2"/>
        <v>0</v>
      </c>
      <c r="CS8" s="205">
        <f t="shared" si="3"/>
        <v>0</v>
      </c>
      <c r="CT8" s="205">
        <f t="shared" si="3"/>
        <v>0</v>
      </c>
      <c r="CU8" s="205">
        <f t="shared" si="3"/>
        <v>0</v>
      </c>
      <c r="CV8" s="205">
        <f t="shared" si="3"/>
        <v>0</v>
      </c>
      <c r="CW8" s="205">
        <f t="shared" si="3"/>
        <v>0</v>
      </c>
      <c r="CX8" s="205">
        <f t="shared" si="3"/>
        <v>0</v>
      </c>
      <c r="CY8" s="205">
        <f t="shared" si="3"/>
        <v>0</v>
      </c>
      <c r="CZ8" s="205">
        <f t="shared" si="3"/>
        <v>0</v>
      </c>
      <c r="DA8" s="205">
        <f t="shared" si="3"/>
        <v>0</v>
      </c>
      <c r="DB8" s="205"/>
    </row>
    <row r="9" spans="1:106">
      <c r="A9" s="202" t="str">
        <f>Income!A78</f>
        <v>Labour - casual</v>
      </c>
      <c r="B9" s="204">
        <f>Income!B78</f>
        <v>6054.5357837992951</v>
      </c>
      <c r="C9" s="204">
        <f>Income!C78</f>
        <v>0</v>
      </c>
      <c r="D9" s="204">
        <f>Income!D78</f>
        <v>188712.80365088707</v>
      </c>
      <c r="E9" s="204">
        <f>Income!E78</f>
        <v>352263.90014832257</v>
      </c>
      <c r="F9" s="205">
        <f t="shared" si="4"/>
        <v>6054.5357837992951</v>
      </c>
      <c r="G9" s="205">
        <f t="shared" si="4"/>
        <v>6054.5357837992951</v>
      </c>
      <c r="H9" s="205">
        <f t="shared" si="4"/>
        <v>6054.5357837992951</v>
      </c>
      <c r="I9" s="205">
        <f t="shared" si="4"/>
        <v>6054.5357837992951</v>
      </c>
      <c r="J9" s="205">
        <f t="shared" si="4"/>
        <v>6054.5357837992951</v>
      </c>
      <c r="K9" s="205">
        <f t="shared" si="4"/>
        <v>6054.5357837992951</v>
      </c>
      <c r="L9" s="205">
        <f t="shared" si="4"/>
        <v>6054.5357837992951</v>
      </c>
      <c r="M9" s="205">
        <f t="shared" si="4"/>
        <v>6054.5357837992951</v>
      </c>
      <c r="N9" s="205">
        <f t="shared" si="4"/>
        <v>6054.5357837992951</v>
      </c>
      <c r="O9" s="205">
        <f t="shared" si="4"/>
        <v>6054.5357837992951</v>
      </c>
      <c r="P9" s="205">
        <f t="shared" si="4"/>
        <v>6054.5357837992951</v>
      </c>
      <c r="Q9" s="205">
        <f t="shared" si="4"/>
        <v>6054.5357837992951</v>
      </c>
      <c r="R9" s="205">
        <f t="shared" si="4"/>
        <v>6054.5357837992951</v>
      </c>
      <c r="S9" s="205">
        <f t="shared" si="4"/>
        <v>6054.5357837992951</v>
      </c>
      <c r="T9" s="205">
        <f t="shared" si="4"/>
        <v>6054.5357837992951</v>
      </c>
      <c r="U9" s="205">
        <f t="shared" si="4"/>
        <v>6054.5357837992951</v>
      </c>
      <c r="V9" s="205">
        <f t="shared" si="6"/>
        <v>6054.5357837992951</v>
      </c>
      <c r="W9" s="205">
        <f t="shared" si="6"/>
        <v>6054.5357837992951</v>
      </c>
      <c r="X9" s="205">
        <f t="shared" si="6"/>
        <v>6054.5357837992951</v>
      </c>
      <c r="Y9" s="205">
        <f t="shared" si="6"/>
        <v>6054.5357837992951</v>
      </c>
      <c r="Z9" s="205">
        <f t="shared" si="6"/>
        <v>6054.5357837992951</v>
      </c>
      <c r="AA9" s="205">
        <f t="shared" si="6"/>
        <v>6054.5357837992951</v>
      </c>
      <c r="AB9" s="205">
        <f t="shared" si="6"/>
        <v>6054.5357837992951</v>
      </c>
      <c r="AC9" s="205">
        <f t="shared" si="6"/>
        <v>6054.5357837992951</v>
      </c>
      <c r="AD9" s="205">
        <f t="shared" si="6"/>
        <v>6054.5357837992951</v>
      </c>
      <c r="AE9" s="205">
        <f t="shared" si="6"/>
        <v>6054.5357837992951</v>
      </c>
      <c r="AF9" s="205">
        <f t="shared" si="6"/>
        <v>6054.5357837992951</v>
      </c>
      <c r="AG9" s="205">
        <f t="shared" si="6"/>
        <v>6054.5357837992951</v>
      </c>
      <c r="AH9" s="205">
        <f t="shared" si="6"/>
        <v>6054.5357837992951</v>
      </c>
      <c r="AI9" s="205">
        <f t="shared" si="6"/>
        <v>0</v>
      </c>
      <c r="AJ9" s="205">
        <f t="shared" si="6"/>
        <v>0</v>
      </c>
      <c r="AK9" s="205">
        <f t="shared" si="6"/>
        <v>0</v>
      </c>
      <c r="AL9" s="205">
        <f t="shared" si="7"/>
        <v>0</v>
      </c>
      <c r="AM9" s="205">
        <f t="shared" si="7"/>
        <v>0</v>
      </c>
      <c r="AN9" s="205">
        <f t="shared" si="7"/>
        <v>0</v>
      </c>
      <c r="AO9" s="205">
        <f t="shared" si="7"/>
        <v>0</v>
      </c>
      <c r="AP9" s="205">
        <f t="shared" si="7"/>
        <v>0</v>
      </c>
      <c r="AQ9" s="205">
        <f t="shared" si="7"/>
        <v>0</v>
      </c>
      <c r="AR9" s="205">
        <f t="shared" si="7"/>
        <v>0</v>
      </c>
      <c r="AS9" s="205">
        <f t="shared" si="7"/>
        <v>0</v>
      </c>
      <c r="AT9" s="205">
        <f t="shared" si="7"/>
        <v>0</v>
      </c>
      <c r="AU9" s="205">
        <f t="shared" si="7"/>
        <v>0</v>
      </c>
      <c r="AV9" s="205">
        <f t="shared" si="7"/>
        <v>0</v>
      </c>
      <c r="AW9" s="205">
        <f t="shared" si="7"/>
        <v>0</v>
      </c>
      <c r="AX9" s="205">
        <f t="shared" si="1"/>
        <v>0</v>
      </c>
      <c r="AY9" s="205">
        <f t="shared" si="1"/>
        <v>0</v>
      </c>
      <c r="AZ9" s="205">
        <f t="shared" si="1"/>
        <v>0</v>
      </c>
      <c r="BA9" s="205">
        <f t="shared" si="1"/>
        <v>0</v>
      </c>
      <c r="BB9" s="205">
        <f t="shared" si="1"/>
        <v>0</v>
      </c>
      <c r="BC9" s="205">
        <f t="shared" si="1"/>
        <v>0</v>
      </c>
      <c r="BD9" s="205">
        <f t="shared" si="1"/>
        <v>0</v>
      </c>
      <c r="BE9" s="205">
        <f t="shared" si="1"/>
        <v>0</v>
      </c>
      <c r="BF9" s="205">
        <f t="shared" si="1"/>
        <v>0</v>
      </c>
      <c r="BG9" s="205">
        <f t="shared" si="1"/>
        <v>0</v>
      </c>
      <c r="BH9" s="205">
        <f t="shared" si="1"/>
        <v>0</v>
      </c>
      <c r="BI9" s="205">
        <f t="shared" si="1"/>
        <v>0</v>
      </c>
      <c r="BJ9" s="205">
        <f t="shared" si="1"/>
        <v>0</v>
      </c>
      <c r="BK9" s="205">
        <f t="shared" si="1"/>
        <v>0</v>
      </c>
      <c r="BL9" s="205">
        <f t="shared" si="1"/>
        <v>0</v>
      </c>
      <c r="BM9" s="205">
        <f t="shared" si="1"/>
        <v>0</v>
      </c>
      <c r="BN9" s="205">
        <f t="shared" si="1"/>
        <v>0</v>
      </c>
      <c r="BO9" s="205">
        <f t="shared" si="1"/>
        <v>0</v>
      </c>
      <c r="BP9" s="205">
        <f t="shared" si="1"/>
        <v>0</v>
      </c>
      <c r="BQ9" s="205">
        <f t="shared" si="1"/>
        <v>0</v>
      </c>
      <c r="BR9" s="205">
        <f t="shared" si="1"/>
        <v>0</v>
      </c>
      <c r="BS9" s="205">
        <f t="shared" si="1"/>
        <v>0</v>
      </c>
      <c r="BT9" s="205">
        <f t="shared" si="1"/>
        <v>0</v>
      </c>
      <c r="BU9" s="205">
        <f t="shared" si="1"/>
        <v>0</v>
      </c>
      <c r="BV9" s="205">
        <f t="shared" si="1"/>
        <v>0</v>
      </c>
      <c r="BW9" s="205">
        <f t="shared" si="1"/>
        <v>0</v>
      </c>
      <c r="BX9" s="205">
        <f t="shared" si="1"/>
        <v>0</v>
      </c>
      <c r="BY9" s="205">
        <f t="shared" si="1"/>
        <v>188712.80365088707</v>
      </c>
      <c r="BZ9" s="205">
        <f t="shared" si="1"/>
        <v>188712.80365088707</v>
      </c>
      <c r="CA9" s="205">
        <f t="shared" si="2"/>
        <v>188712.80365088707</v>
      </c>
      <c r="CB9" s="205">
        <f t="shared" si="2"/>
        <v>188712.80365088707</v>
      </c>
      <c r="CC9" s="205">
        <f t="shared" si="2"/>
        <v>188712.80365088707</v>
      </c>
      <c r="CD9" s="205">
        <f t="shared" si="2"/>
        <v>188712.80365088707</v>
      </c>
      <c r="CE9" s="205">
        <f t="shared" si="2"/>
        <v>188712.80365088707</v>
      </c>
      <c r="CF9" s="205">
        <f t="shared" si="2"/>
        <v>188712.80365088707</v>
      </c>
      <c r="CG9" s="205">
        <f t="shared" si="2"/>
        <v>188712.80365088707</v>
      </c>
      <c r="CH9" s="205">
        <f t="shared" si="2"/>
        <v>188712.80365088707</v>
      </c>
      <c r="CI9" s="205">
        <f t="shared" si="2"/>
        <v>188712.80365088707</v>
      </c>
      <c r="CJ9" s="205">
        <f t="shared" si="2"/>
        <v>188712.80365088707</v>
      </c>
      <c r="CK9" s="205">
        <f t="shared" si="2"/>
        <v>188712.80365088707</v>
      </c>
      <c r="CL9" s="205">
        <f t="shared" si="2"/>
        <v>188712.80365088707</v>
      </c>
      <c r="CM9" s="205">
        <f t="shared" si="2"/>
        <v>188712.80365088707</v>
      </c>
      <c r="CN9" s="205">
        <f t="shared" si="2"/>
        <v>188712.80365088707</v>
      </c>
      <c r="CO9" s="205">
        <f t="shared" si="2"/>
        <v>188712.80365088707</v>
      </c>
      <c r="CP9" s="205">
        <f t="shared" si="2"/>
        <v>188712.80365088707</v>
      </c>
      <c r="CQ9" s="205">
        <f t="shared" si="2"/>
        <v>352263.90014832257</v>
      </c>
      <c r="CR9" s="205">
        <f t="shared" si="2"/>
        <v>352263.90014832257</v>
      </c>
      <c r="CS9" s="205">
        <f t="shared" si="3"/>
        <v>352263.90014832257</v>
      </c>
      <c r="CT9" s="205">
        <f t="shared" si="3"/>
        <v>352263.90014832257</v>
      </c>
      <c r="CU9" s="205">
        <f t="shared" si="3"/>
        <v>352263.90014832257</v>
      </c>
      <c r="CV9" s="205">
        <f t="shared" si="3"/>
        <v>352263.90014832257</v>
      </c>
      <c r="CW9" s="205">
        <f t="shared" si="3"/>
        <v>352263.90014832257</v>
      </c>
      <c r="CX9" s="205">
        <f t="shared" si="3"/>
        <v>352263.90014832257</v>
      </c>
      <c r="CY9" s="205">
        <f t="shared" si="3"/>
        <v>352263.90014832257</v>
      </c>
      <c r="CZ9" s="205">
        <f t="shared" si="3"/>
        <v>352263.90014832257</v>
      </c>
      <c r="DA9" s="205">
        <f t="shared" si="3"/>
        <v>352263.90014832257</v>
      </c>
      <c r="DB9" s="205"/>
    </row>
    <row r="10" spans="1:106">
      <c r="A10" s="202" t="str">
        <f>Income!A79</f>
        <v>Labour - formal emp</v>
      </c>
      <c r="B10" s="204">
        <f>Income!B79</f>
        <v>5871.0650024720435</v>
      </c>
      <c r="C10" s="204">
        <f>Income!C79</f>
        <v>0</v>
      </c>
      <c r="D10" s="204">
        <f>Income!D79</f>
        <v>0</v>
      </c>
      <c r="E10" s="204">
        <f>Income!E79</f>
        <v>58710.650024720424</v>
      </c>
      <c r="F10" s="205">
        <f t="shared" si="4"/>
        <v>5871.0650024720435</v>
      </c>
      <c r="G10" s="205">
        <f t="shared" si="4"/>
        <v>5871.0650024720435</v>
      </c>
      <c r="H10" s="205">
        <f t="shared" si="4"/>
        <v>5871.0650024720435</v>
      </c>
      <c r="I10" s="205">
        <f t="shared" si="4"/>
        <v>5871.0650024720435</v>
      </c>
      <c r="J10" s="205">
        <f t="shared" si="4"/>
        <v>5871.0650024720435</v>
      </c>
      <c r="K10" s="205">
        <f t="shared" si="4"/>
        <v>5871.0650024720435</v>
      </c>
      <c r="L10" s="205">
        <f t="shared" si="4"/>
        <v>5871.0650024720435</v>
      </c>
      <c r="M10" s="205">
        <f t="shared" si="4"/>
        <v>5871.0650024720435</v>
      </c>
      <c r="N10" s="205">
        <f t="shared" si="4"/>
        <v>5871.0650024720435</v>
      </c>
      <c r="O10" s="205">
        <f t="shared" si="4"/>
        <v>5871.0650024720435</v>
      </c>
      <c r="P10" s="205">
        <f t="shared" si="4"/>
        <v>5871.0650024720435</v>
      </c>
      <c r="Q10" s="205">
        <f t="shared" si="4"/>
        <v>5871.0650024720435</v>
      </c>
      <c r="R10" s="205">
        <f t="shared" si="4"/>
        <v>5871.0650024720435</v>
      </c>
      <c r="S10" s="205">
        <f t="shared" si="4"/>
        <v>5871.0650024720435</v>
      </c>
      <c r="T10" s="205">
        <f t="shared" si="4"/>
        <v>5871.0650024720435</v>
      </c>
      <c r="U10" s="205">
        <f t="shared" si="4"/>
        <v>5871.0650024720435</v>
      </c>
      <c r="V10" s="205">
        <f t="shared" si="6"/>
        <v>5871.0650024720435</v>
      </c>
      <c r="W10" s="205">
        <f t="shared" si="6"/>
        <v>5871.0650024720435</v>
      </c>
      <c r="X10" s="205">
        <f t="shared" si="6"/>
        <v>5871.0650024720435</v>
      </c>
      <c r="Y10" s="205">
        <f t="shared" si="6"/>
        <v>5871.0650024720435</v>
      </c>
      <c r="Z10" s="205">
        <f t="shared" si="6"/>
        <v>5871.0650024720435</v>
      </c>
      <c r="AA10" s="205">
        <f t="shared" si="6"/>
        <v>5871.0650024720435</v>
      </c>
      <c r="AB10" s="205">
        <f t="shared" si="6"/>
        <v>5871.0650024720435</v>
      </c>
      <c r="AC10" s="205">
        <f t="shared" si="6"/>
        <v>5871.0650024720435</v>
      </c>
      <c r="AD10" s="205">
        <f t="shared" si="6"/>
        <v>5871.0650024720435</v>
      </c>
      <c r="AE10" s="205">
        <f t="shared" si="6"/>
        <v>5871.0650024720435</v>
      </c>
      <c r="AF10" s="205">
        <f t="shared" si="6"/>
        <v>5871.0650024720435</v>
      </c>
      <c r="AG10" s="205">
        <f t="shared" si="6"/>
        <v>5871.0650024720435</v>
      </c>
      <c r="AH10" s="205">
        <f t="shared" si="6"/>
        <v>5871.0650024720435</v>
      </c>
      <c r="AI10" s="205">
        <f t="shared" si="6"/>
        <v>0</v>
      </c>
      <c r="AJ10" s="205">
        <f t="shared" si="6"/>
        <v>0</v>
      </c>
      <c r="AK10" s="205">
        <f t="shared" si="6"/>
        <v>0</v>
      </c>
      <c r="AL10" s="205">
        <f t="shared" si="7"/>
        <v>0</v>
      </c>
      <c r="AM10" s="205">
        <f t="shared" si="7"/>
        <v>0</v>
      </c>
      <c r="AN10" s="205">
        <f t="shared" si="7"/>
        <v>0</v>
      </c>
      <c r="AO10" s="205">
        <f t="shared" si="7"/>
        <v>0</v>
      </c>
      <c r="AP10" s="205">
        <f t="shared" si="7"/>
        <v>0</v>
      </c>
      <c r="AQ10" s="205">
        <f t="shared" si="7"/>
        <v>0</v>
      </c>
      <c r="AR10" s="205">
        <f t="shared" si="7"/>
        <v>0</v>
      </c>
      <c r="AS10" s="205">
        <f t="shared" si="7"/>
        <v>0</v>
      </c>
      <c r="AT10" s="205">
        <f t="shared" si="7"/>
        <v>0</v>
      </c>
      <c r="AU10" s="205">
        <f t="shared" si="7"/>
        <v>0</v>
      </c>
      <c r="AV10" s="205">
        <f t="shared" si="7"/>
        <v>0</v>
      </c>
      <c r="AW10" s="205">
        <f t="shared" si="7"/>
        <v>0</v>
      </c>
      <c r="AX10" s="205">
        <f t="shared" si="1"/>
        <v>0</v>
      </c>
      <c r="AY10" s="205">
        <f t="shared" si="1"/>
        <v>0</v>
      </c>
      <c r="AZ10" s="205">
        <f t="shared" si="1"/>
        <v>0</v>
      </c>
      <c r="BA10" s="205">
        <f t="shared" si="1"/>
        <v>0</v>
      </c>
      <c r="BB10" s="205">
        <f t="shared" si="1"/>
        <v>0</v>
      </c>
      <c r="BC10" s="205">
        <f t="shared" si="1"/>
        <v>0</v>
      </c>
      <c r="BD10" s="205">
        <f t="shared" si="1"/>
        <v>0</v>
      </c>
      <c r="BE10" s="205">
        <f t="shared" si="1"/>
        <v>0</v>
      </c>
      <c r="BF10" s="205">
        <f t="shared" si="1"/>
        <v>0</v>
      </c>
      <c r="BG10" s="205">
        <f t="shared" si="1"/>
        <v>0</v>
      </c>
      <c r="BH10" s="205">
        <f t="shared" si="1"/>
        <v>0</v>
      </c>
      <c r="BI10" s="205">
        <f t="shared" si="1"/>
        <v>0</v>
      </c>
      <c r="BJ10" s="205">
        <f t="shared" si="1"/>
        <v>0</v>
      </c>
      <c r="BK10" s="205">
        <f t="shared" si="1"/>
        <v>0</v>
      </c>
      <c r="BL10" s="205">
        <f t="shared" si="1"/>
        <v>0</v>
      </c>
      <c r="BM10" s="205">
        <f t="shared" si="1"/>
        <v>0</v>
      </c>
      <c r="BN10" s="205">
        <f t="shared" si="1"/>
        <v>0</v>
      </c>
      <c r="BO10" s="205">
        <f t="shared" si="1"/>
        <v>0</v>
      </c>
      <c r="BP10" s="205">
        <f t="shared" si="1"/>
        <v>0</v>
      </c>
      <c r="BQ10" s="205">
        <f t="shared" si="1"/>
        <v>0</v>
      </c>
      <c r="BR10" s="205">
        <f t="shared" ref="AX10:BZ18" si="8">IF(BR$2&lt;=($B$2+$C$2+$D$2),IF(BR$2&lt;=($B$2+$C$2),IF(BR$2&lt;=$B$2,$B10,$C10),$D10),$E10)</f>
        <v>0</v>
      </c>
      <c r="BS10" s="205">
        <f t="shared" si="8"/>
        <v>0</v>
      </c>
      <c r="BT10" s="205">
        <f t="shared" si="8"/>
        <v>0</v>
      </c>
      <c r="BU10" s="205">
        <f t="shared" si="8"/>
        <v>0</v>
      </c>
      <c r="BV10" s="205">
        <f t="shared" si="8"/>
        <v>0</v>
      </c>
      <c r="BW10" s="205">
        <f t="shared" si="8"/>
        <v>0</v>
      </c>
      <c r="BX10" s="205">
        <f t="shared" si="8"/>
        <v>0</v>
      </c>
      <c r="BY10" s="205">
        <f t="shared" si="8"/>
        <v>0</v>
      </c>
      <c r="BZ10" s="205">
        <f t="shared" si="8"/>
        <v>0</v>
      </c>
      <c r="CA10" s="205">
        <f t="shared" si="2"/>
        <v>0</v>
      </c>
      <c r="CB10" s="205">
        <f t="shared" si="2"/>
        <v>0</v>
      </c>
      <c r="CC10" s="205">
        <f t="shared" si="2"/>
        <v>0</v>
      </c>
      <c r="CD10" s="205">
        <f t="shared" si="2"/>
        <v>0</v>
      </c>
      <c r="CE10" s="205">
        <f t="shared" si="2"/>
        <v>0</v>
      </c>
      <c r="CF10" s="205">
        <f t="shared" si="2"/>
        <v>0</v>
      </c>
      <c r="CG10" s="205">
        <f t="shared" si="2"/>
        <v>0</v>
      </c>
      <c r="CH10" s="205">
        <f t="shared" si="2"/>
        <v>0</v>
      </c>
      <c r="CI10" s="205">
        <f t="shared" si="2"/>
        <v>0</v>
      </c>
      <c r="CJ10" s="205">
        <f t="shared" si="2"/>
        <v>0</v>
      </c>
      <c r="CK10" s="205">
        <f t="shared" si="2"/>
        <v>0</v>
      </c>
      <c r="CL10" s="205">
        <f t="shared" si="2"/>
        <v>0</v>
      </c>
      <c r="CM10" s="205">
        <f t="shared" si="2"/>
        <v>0</v>
      </c>
      <c r="CN10" s="205">
        <f t="shared" si="2"/>
        <v>0</v>
      </c>
      <c r="CO10" s="205">
        <f t="shared" si="2"/>
        <v>0</v>
      </c>
      <c r="CP10" s="205">
        <f t="shared" si="2"/>
        <v>0</v>
      </c>
      <c r="CQ10" s="205">
        <f t="shared" si="2"/>
        <v>58710.650024720424</v>
      </c>
      <c r="CR10" s="205">
        <f t="shared" si="2"/>
        <v>58710.650024720424</v>
      </c>
      <c r="CS10" s="205">
        <f t="shared" si="3"/>
        <v>58710.650024720424</v>
      </c>
      <c r="CT10" s="205">
        <f t="shared" si="3"/>
        <v>58710.650024720424</v>
      </c>
      <c r="CU10" s="205">
        <f t="shared" si="3"/>
        <v>58710.650024720424</v>
      </c>
      <c r="CV10" s="205">
        <f t="shared" si="3"/>
        <v>58710.650024720424</v>
      </c>
      <c r="CW10" s="205">
        <f t="shared" si="3"/>
        <v>58710.650024720424</v>
      </c>
      <c r="CX10" s="205">
        <f t="shared" si="3"/>
        <v>58710.650024720424</v>
      </c>
      <c r="CY10" s="205">
        <f t="shared" si="3"/>
        <v>58710.650024720424</v>
      </c>
      <c r="CZ10" s="205">
        <f t="shared" si="3"/>
        <v>58710.650024720424</v>
      </c>
      <c r="DA10" s="205">
        <f t="shared" si="3"/>
        <v>58710.650024720424</v>
      </c>
      <c r="DB10" s="205"/>
    </row>
    <row r="11" spans="1:106">
      <c r="A11" s="202" t="str">
        <f>Income!A81</f>
        <v>Self - employment</v>
      </c>
      <c r="B11" s="204">
        <f>Income!B81</f>
        <v>0</v>
      </c>
      <c r="C11" s="204">
        <f>Income!C81</f>
        <v>0</v>
      </c>
      <c r="D11" s="204">
        <f>Income!D81</f>
        <v>0</v>
      </c>
      <c r="E11" s="204">
        <f>Income!E81</f>
        <v>0</v>
      </c>
      <c r="F11" s="205">
        <f t="shared" si="4"/>
        <v>0</v>
      </c>
      <c r="G11" s="205">
        <f t="shared" si="4"/>
        <v>0</v>
      </c>
      <c r="H11" s="205">
        <f t="shared" si="4"/>
        <v>0</v>
      </c>
      <c r="I11" s="205">
        <f t="shared" si="4"/>
        <v>0</v>
      </c>
      <c r="J11" s="205">
        <f t="shared" si="4"/>
        <v>0</v>
      </c>
      <c r="K11" s="205">
        <f t="shared" si="4"/>
        <v>0</v>
      </c>
      <c r="L11" s="205">
        <f t="shared" si="4"/>
        <v>0</v>
      </c>
      <c r="M11" s="205">
        <f t="shared" si="4"/>
        <v>0</v>
      </c>
      <c r="N11" s="205">
        <f t="shared" si="4"/>
        <v>0</v>
      </c>
      <c r="O11" s="205">
        <f t="shared" si="4"/>
        <v>0</v>
      </c>
      <c r="P11" s="205">
        <f t="shared" si="4"/>
        <v>0</v>
      </c>
      <c r="Q11" s="205">
        <f t="shared" si="4"/>
        <v>0</v>
      </c>
      <c r="R11" s="205">
        <f t="shared" si="4"/>
        <v>0</v>
      </c>
      <c r="S11" s="205">
        <f t="shared" si="4"/>
        <v>0</v>
      </c>
      <c r="T11" s="205">
        <f t="shared" si="4"/>
        <v>0</v>
      </c>
      <c r="U11" s="205">
        <f t="shared" si="4"/>
        <v>0</v>
      </c>
      <c r="V11" s="205">
        <f t="shared" si="6"/>
        <v>0</v>
      </c>
      <c r="W11" s="205">
        <f t="shared" si="6"/>
        <v>0</v>
      </c>
      <c r="X11" s="205">
        <f t="shared" si="6"/>
        <v>0</v>
      </c>
      <c r="Y11" s="205">
        <f t="shared" si="6"/>
        <v>0</v>
      </c>
      <c r="Z11" s="205">
        <f t="shared" si="6"/>
        <v>0</v>
      </c>
      <c r="AA11" s="205">
        <f t="shared" si="6"/>
        <v>0</v>
      </c>
      <c r="AB11" s="205">
        <f t="shared" si="6"/>
        <v>0</v>
      </c>
      <c r="AC11" s="205">
        <f t="shared" si="6"/>
        <v>0</v>
      </c>
      <c r="AD11" s="205">
        <f t="shared" si="6"/>
        <v>0</v>
      </c>
      <c r="AE11" s="205">
        <f t="shared" si="6"/>
        <v>0</v>
      </c>
      <c r="AF11" s="205">
        <f t="shared" si="6"/>
        <v>0</v>
      </c>
      <c r="AG11" s="205">
        <f t="shared" si="6"/>
        <v>0</v>
      </c>
      <c r="AH11" s="205">
        <f t="shared" si="6"/>
        <v>0</v>
      </c>
      <c r="AI11" s="205">
        <f t="shared" si="6"/>
        <v>0</v>
      </c>
      <c r="AJ11" s="205">
        <f t="shared" si="6"/>
        <v>0</v>
      </c>
      <c r="AK11" s="205">
        <f t="shared" si="6"/>
        <v>0</v>
      </c>
      <c r="AL11" s="205">
        <f t="shared" si="7"/>
        <v>0</v>
      </c>
      <c r="AM11" s="205">
        <f t="shared" si="7"/>
        <v>0</v>
      </c>
      <c r="AN11" s="205">
        <f t="shared" si="7"/>
        <v>0</v>
      </c>
      <c r="AO11" s="205">
        <f t="shared" si="7"/>
        <v>0</v>
      </c>
      <c r="AP11" s="205">
        <f t="shared" si="7"/>
        <v>0</v>
      </c>
      <c r="AQ11" s="205">
        <f t="shared" si="7"/>
        <v>0</v>
      </c>
      <c r="AR11" s="205">
        <f t="shared" si="7"/>
        <v>0</v>
      </c>
      <c r="AS11" s="205">
        <f t="shared" si="7"/>
        <v>0</v>
      </c>
      <c r="AT11" s="205">
        <f t="shared" si="7"/>
        <v>0</v>
      </c>
      <c r="AU11" s="205">
        <f t="shared" si="7"/>
        <v>0</v>
      </c>
      <c r="AV11" s="205">
        <f t="shared" si="7"/>
        <v>0</v>
      </c>
      <c r="AW11" s="205">
        <f t="shared" si="7"/>
        <v>0</v>
      </c>
      <c r="AX11" s="205">
        <f t="shared" si="8"/>
        <v>0</v>
      </c>
      <c r="AY11" s="205">
        <f t="shared" si="8"/>
        <v>0</v>
      </c>
      <c r="AZ11" s="205">
        <f t="shared" si="8"/>
        <v>0</v>
      </c>
      <c r="BA11" s="205">
        <f t="shared" si="8"/>
        <v>0</v>
      </c>
      <c r="BB11" s="205">
        <f t="shared" si="8"/>
        <v>0</v>
      </c>
      <c r="BC11" s="205">
        <f t="shared" si="8"/>
        <v>0</v>
      </c>
      <c r="BD11" s="205">
        <f t="shared" si="8"/>
        <v>0</v>
      </c>
      <c r="BE11" s="205">
        <f t="shared" si="8"/>
        <v>0</v>
      </c>
      <c r="BF11" s="205">
        <f t="shared" si="8"/>
        <v>0</v>
      </c>
      <c r="BG11" s="205">
        <f t="shared" si="8"/>
        <v>0</v>
      </c>
      <c r="BH11" s="205">
        <f t="shared" si="8"/>
        <v>0</v>
      </c>
      <c r="BI11" s="205">
        <f t="shared" si="8"/>
        <v>0</v>
      </c>
      <c r="BJ11" s="205">
        <f t="shared" si="8"/>
        <v>0</v>
      </c>
      <c r="BK11" s="205">
        <f t="shared" si="8"/>
        <v>0</v>
      </c>
      <c r="BL11" s="205">
        <f t="shared" si="8"/>
        <v>0</v>
      </c>
      <c r="BM11" s="205">
        <f t="shared" si="8"/>
        <v>0</v>
      </c>
      <c r="BN11" s="205">
        <f t="shared" si="8"/>
        <v>0</v>
      </c>
      <c r="BO11" s="205">
        <f t="shared" si="8"/>
        <v>0</v>
      </c>
      <c r="BP11" s="205">
        <f t="shared" si="8"/>
        <v>0</v>
      </c>
      <c r="BQ11" s="205">
        <f t="shared" si="8"/>
        <v>0</v>
      </c>
      <c r="BR11" s="205">
        <f t="shared" si="8"/>
        <v>0</v>
      </c>
      <c r="BS11" s="205">
        <f t="shared" si="8"/>
        <v>0</v>
      </c>
      <c r="BT11" s="205">
        <f t="shared" si="8"/>
        <v>0</v>
      </c>
      <c r="BU11" s="205">
        <f t="shared" si="8"/>
        <v>0</v>
      </c>
      <c r="BV11" s="205">
        <f t="shared" si="8"/>
        <v>0</v>
      </c>
      <c r="BW11" s="205">
        <f t="shared" si="8"/>
        <v>0</v>
      </c>
      <c r="BX11" s="205">
        <f t="shared" si="8"/>
        <v>0</v>
      </c>
      <c r="BY11" s="205">
        <f t="shared" si="8"/>
        <v>0</v>
      </c>
      <c r="BZ11" s="205">
        <f t="shared" si="8"/>
        <v>0</v>
      </c>
      <c r="CA11" s="205">
        <f t="shared" si="2"/>
        <v>0</v>
      </c>
      <c r="CB11" s="205">
        <f t="shared" si="2"/>
        <v>0</v>
      </c>
      <c r="CC11" s="205">
        <f t="shared" si="2"/>
        <v>0</v>
      </c>
      <c r="CD11" s="205">
        <f t="shared" si="2"/>
        <v>0</v>
      </c>
      <c r="CE11" s="205">
        <f t="shared" si="2"/>
        <v>0</v>
      </c>
      <c r="CF11" s="205">
        <f t="shared" si="2"/>
        <v>0</v>
      </c>
      <c r="CG11" s="205">
        <f t="shared" si="2"/>
        <v>0</v>
      </c>
      <c r="CH11" s="205">
        <f t="shared" si="2"/>
        <v>0</v>
      </c>
      <c r="CI11" s="205">
        <f t="shared" si="2"/>
        <v>0</v>
      </c>
      <c r="CJ11" s="205">
        <f t="shared" si="2"/>
        <v>0</v>
      </c>
      <c r="CK11" s="205">
        <f t="shared" si="2"/>
        <v>0</v>
      </c>
      <c r="CL11" s="205">
        <f t="shared" si="2"/>
        <v>0</v>
      </c>
      <c r="CM11" s="205">
        <f t="shared" si="2"/>
        <v>0</v>
      </c>
      <c r="CN11" s="205">
        <f t="shared" si="2"/>
        <v>0</v>
      </c>
      <c r="CO11" s="205">
        <f t="shared" si="2"/>
        <v>0</v>
      </c>
      <c r="CP11" s="205">
        <f t="shared" si="2"/>
        <v>0</v>
      </c>
      <c r="CQ11" s="205">
        <f t="shared" si="2"/>
        <v>0</v>
      </c>
      <c r="CR11" s="205">
        <f t="shared" si="2"/>
        <v>0</v>
      </c>
      <c r="CS11" s="205">
        <f t="shared" si="3"/>
        <v>0</v>
      </c>
      <c r="CT11" s="205">
        <f t="shared" si="3"/>
        <v>0</v>
      </c>
      <c r="CU11" s="205">
        <f t="shared" si="3"/>
        <v>0</v>
      </c>
      <c r="CV11" s="205">
        <f t="shared" si="3"/>
        <v>0</v>
      </c>
      <c r="CW11" s="205">
        <f t="shared" si="3"/>
        <v>0</v>
      </c>
      <c r="CX11" s="205">
        <f t="shared" si="3"/>
        <v>0</v>
      </c>
      <c r="CY11" s="205">
        <f t="shared" si="3"/>
        <v>0</v>
      </c>
      <c r="CZ11" s="205">
        <f t="shared" si="3"/>
        <v>0</v>
      </c>
      <c r="DA11" s="205">
        <f t="shared" si="3"/>
        <v>0</v>
      </c>
      <c r="DB11" s="205"/>
    </row>
    <row r="12" spans="1:106">
      <c r="A12" s="202" t="str">
        <f>Income!A82</f>
        <v>Small business/petty trading</v>
      </c>
      <c r="B12" s="204">
        <f>Income!B82</f>
        <v>24218.143135197181</v>
      </c>
      <c r="C12" s="204">
        <f>Income!C82</f>
        <v>49904.052521012367</v>
      </c>
      <c r="D12" s="204">
        <f>Income!D82</f>
        <v>14677.662506180106</v>
      </c>
      <c r="E12" s="204">
        <f>Income!E82</f>
        <v>20548.727508652148</v>
      </c>
      <c r="F12" s="205">
        <f t="shared" si="4"/>
        <v>24218.143135197181</v>
      </c>
      <c r="G12" s="205">
        <f t="shared" si="4"/>
        <v>24218.143135197181</v>
      </c>
      <c r="H12" s="205">
        <f t="shared" si="4"/>
        <v>24218.143135197181</v>
      </c>
      <c r="I12" s="205">
        <f t="shared" si="4"/>
        <v>24218.143135197181</v>
      </c>
      <c r="J12" s="205">
        <f t="shared" si="4"/>
        <v>24218.143135197181</v>
      </c>
      <c r="K12" s="205">
        <f t="shared" si="4"/>
        <v>24218.143135197181</v>
      </c>
      <c r="L12" s="205">
        <f t="shared" si="4"/>
        <v>24218.143135197181</v>
      </c>
      <c r="M12" s="205">
        <f t="shared" si="4"/>
        <v>24218.143135197181</v>
      </c>
      <c r="N12" s="205">
        <f t="shared" si="4"/>
        <v>24218.143135197181</v>
      </c>
      <c r="O12" s="205">
        <f t="shared" si="4"/>
        <v>24218.143135197181</v>
      </c>
      <c r="P12" s="205">
        <f t="shared" si="4"/>
        <v>24218.143135197181</v>
      </c>
      <c r="Q12" s="205">
        <f t="shared" si="4"/>
        <v>24218.143135197181</v>
      </c>
      <c r="R12" s="205">
        <f t="shared" si="4"/>
        <v>24218.143135197181</v>
      </c>
      <c r="S12" s="205">
        <f t="shared" si="4"/>
        <v>24218.143135197181</v>
      </c>
      <c r="T12" s="205">
        <f t="shared" si="4"/>
        <v>24218.143135197181</v>
      </c>
      <c r="U12" s="205">
        <f t="shared" si="4"/>
        <v>24218.143135197181</v>
      </c>
      <c r="V12" s="205">
        <f t="shared" si="6"/>
        <v>24218.143135197181</v>
      </c>
      <c r="W12" s="205">
        <f t="shared" si="6"/>
        <v>24218.143135197181</v>
      </c>
      <c r="X12" s="205">
        <f t="shared" si="6"/>
        <v>24218.143135197181</v>
      </c>
      <c r="Y12" s="205">
        <f t="shared" si="6"/>
        <v>24218.143135197181</v>
      </c>
      <c r="Z12" s="205">
        <f t="shared" si="6"/>
        <v>24218.143135197181</v>
      </c>
      <c r="AA12" s="205">
        <f t="shared" si="6"/>
        <v>24218.143135197181</v>
      </c>
      <c r="AB12" s="205">
        <f t="shared" si="6"/>
        <v>24218.143135197181</v>
      </c>
      <c r="AC12" s="205">
        <f t="shared" si="6"/>
        <v>24218.143135197181</v>
      </c>
      <c r="AD12" s="205">
        <f t="shared" si="6"/>
        <v>24218.143135197181</v>
      </c>
      <c r="AE12" s="205">
        <f t="shared" si="6"/>
        <v>24218.143135197181</v>
      </c>
      <c r="AF12" s="205">
        <f t="shared" si="6"/>
        <v>24218.143135197181</v>
      </c>
      <c r="AG12" s="205">
        <f t="shared" si="6"/>
        <v>24218.143135197181</v>
      </c>
      <c r="AH12" s="205">
        <f t="shared" si="6"/>
        <v>24218.143135197181</v>
      </c>
      <c r="AI12" s="205">
        <f t="shared" si="6"/>
        <v>49904.052521012367</v>
      </c>
      <c r="AJ12" s="205">
        <f t="shared" si="6"/>
        <v>49904.052521012367</v>
      </c>
      <c r="AK12" s="205">
        <f t="shared" si="6"/>
        <v>49904.052521012367</v>
      </c>
      <c r="AL12" s="205">
        <f t="shared" si="7"/>
        <v>49904.052521012367</v>
      </c>
      <c r="AM12" s="205">
        <f t="shared" si="7"/>
        <v>49904.052521012367</v>
      </c>
      <c r="AN12" s="205">
        <f t="shared" si="7"/>
        <v>49904.052521012367</v>
      </c>
      <c r="AO12" s="205">
        <f t="shared" si="7"/>
        <v>49904.052521012367</v>
      </c>
      <c r="AP12" s="205">
        <f t="shared" si="7"/>
        <v>49904.052521012367</v>
      </c>
      <c r="AQ12" s="205">
        <f t="shared" si="7"/>
        <v>49904.052521012367</v>
      </c>
      <c r="AR12" s="205">
        <f t="shared" si="7"/>
        <v>49904.052521012367</v>
      </c>
      <c r="AS12" s="205">
        <f t="shared" si="7"/>
        <v>49904.052521012367</v>
      </c>
      <c r="AT12" s="205">
        <f t="shared" si="7"/>
        <v>49904.052521012367</v>
      </c>
      <c r="AU12" s="205">
        <f t="shared" si="7"/>
        <v>49904.052521012367</v>
      </c>
      <c r="AV12" s="205">
        <f t="shared" si="7"/>
        <v>49904.052521012367</v>
      </c>
      <c r="AW12" s="205">
        <f t="shared" si="7"/>
        <v>49904.052521012367</v>
      </c>
      <c r="AX12" s="205">
        <f t="shared" si="8"/>
        <v>49904.052521012367</v>
      </c>
      <c r="AY12" s="205">
        <f t="shared" si="8"/>
        <v>49904.052521012367</v>
      </c>
      <c r="AZ12" s="205">
        <f t="shared" si="8"/>
        <v>49904.052521012367</v>
      </c>
      <c r="BA12" s="205">
        <f t="shared" si="8"/>
        <v>49904.052521012367</v>
      </c>
      <c r="BB12" s="205">
        <f t="shared" si="8"/>
        <v>49904.052521012367</v>
      </c>
      <c r="BC12" s="205">
        <f t="shared" si="8"/>
        <v>49904.052521012367</v>
      </c>
      <c r="BD12" s="205">
        <f t="shared" si="8"/>
        <v>49904.052521012367</v>
      </c>
      <c r="BE12" s="205">
        <f t="shared" si="8"/>
        <v>49904.052521012367</v>
      </c>
      <c r="BF12" s="205">
        <f t="shared" si="8"/>
        <v>49904.052521012367</v>
      </c>
      <c r="BG12" s="205">
        <f t="shared" si="8"/>
        <v>49904.052521012367</v>
      </c>
      <c r="BH12" s="205">
        <f t="shared" si="8"/>
        <v>49904.052521012367</v>
      </c>
      <c r="BI12" s="205">
        <f t="shared" si="8"/>
        <v>49904.052521012367</v>
      </c>
      <c r="BJ12" s="205">
        <f t="shared" si="8"/>
        <v>49904.052521012367</v>
      </c>
      <c r="BK12" s="205">
        <f t="shared" si="8"/>
        <v>49904.052521012367</v>
      </c>
      <c r="BL12" s="205">
        <f t="shared" si="8"/>
        <v>49904.052521012367</v>
      </c>
      <c r="BM12" s="205">
        <f t="shared" si="8"/>
        <v>49904.052521012367</v>
      </c>
      <c r="BN12" s="205">
        <f t="shared" si="8"/>
        <v>49904.052521012367</v>
      </c>
      <c r="BO12" s="205">
        <f t="shared" si="8"/>
        <v>49904.052521012367</v>
      </c>
      <c r="BP12" s="205">
        <f t="shared" si="8"/>
        <v>49904.052521012367</v>
      </c>
      <c r="BQ12" s="205">
        <f t="shared" si="8"/>
        <v>49904.052521012367</v>
      </c>
      <c r="BR12" s="205">
        <f t="shared" si="8"/>
        <v>49904.052521012367</v>
      </c>
      <c r="BS12" s="205">
        <f t="shared" si="8"/>
        <v>49904.052521012367</v>
      </c>
      <c r="BT12" s="205">
        <f t="shared" si="8"/>
        <v>49904.052521012367</v>
      </c>
      <c r="BU12" s="205">
        <f t="shared" si="8"/>
        <v>49904.052521012367</v>
      </c>
      <c r="BV12" s="205">
        <f t="shared" si="8"/>
        <v>49904.052521012367</v>
      </c>
      <c r="BW12" s="205">
        <f t="shared" si="8"/>
        <v>49904.052521012367</v>
      </c>
      <c r="BX12" s="205">
        <f t="shared" si="8"/>
        <v>49904.052521012367</v>
      </c>
      <c r="BY12" s="205">
        <f t="shared" si="8"/>
        <v>14677.662506180106</v>
      </c>
      <c r="BZ12" s="205">
        <f t="shared" si="8"/>
        <v>14677.662506180106</v>
      </c>
      <c r="CA12" s="205">
        <f t="shared" si="2"/>
        <v>14677.662506180106</v>
      </c>
      <c r="CB12" s="205">
        <f t="shared" si="2"/>
        <v>14677.662506180106</v>
      </c>
      <c r="CC12" s="205">
        <f t="shared" si="2"/>
        <v>14677.662506180106</v>
      </c>
      <c r="CD12" s="205">
        <f t="shared" si="2"/>
        <v>14677.662506180106</v>
      </c>
      <c r="CE12" s="205">
        <f t="shared" si="2"/>
        <v>14677.662506180106</v>
      </c>
      <c r="CF12" s="205">
        <f t="shared" si="2"/>
        <v>14677.662506180106</v>
      </c>
      <c r="CG12" s="205">
        <f t="shared" si="2"/>
        <v>14677.662506180106</v>
      </c>
      <c r="CH12" s="205">
        <f t="shared" si="2"/>
        <v>14677.662506180106</v>
      </c>
      <c r="CI12" s="205">
        <f t="shared" si="2"/>
        <v>14677.662506180106</v>
      </c>
      <c r="CJ12" s="205">
        <f t="shared" si="2"/>
        <v>14677.662506180106</v>
      </c>
      <c r="CK12" s="205">
        <f t="shared" si="2"/>
        <v>14677.662506180106</v>
      </c>
      <c r="CL12" s="205">
        <f t="shared" si="2"/>
        <v>14677.662506180106</v>
      </c>
      <c r="CM12" s="205">
        <f t="shared" si="2"/>
        <v>14677.662506180106</v>
      </c>
      <c r="CN12" s="205">
        <f t="shared" si="2"/>
        <v>14677.662506180106</v>
      </c>
      <c r="CO12" s="205">
        <f t="shared" si="2"/>
        <v>14677.662506180106</v>
      </c>
      <c r="CP12" s="205">
        <f t="shared" si="2"/>
        <v>14677.662506180106</v>
      </c>
      <c r="CQ12" s="205">
        <f t="shared" si="2"/>
        <v>20548.727508652148</v>
      </c>
      <c r="CR12" s="205">
        <f t="shared" si="2"/>
        <v>20548.727508652148</v>
      </c>
      <c r="CS12" s="205">
        <f t="shared" si="3"/>
        <v>20548.727508652148</v>
      </c>
      <c r="CT12" s="205">
        <f t="shared" si="3"/>
        <v>20548.727508652148</v>
      </c>
      <c r="CU12" s="205">
        <f t="shared" si="3"/>
        <v>20548.727508652148</v>
      </c>
      <c r="CV12" s="205">
        <f t="shared" si="3"/>
        <v>20548.727508652148</v>
      </c>
      <c r="CW12" s="205">
        <f t="shared" si="3"/>
        <v>20548.727508652148</v>
      </c>
      <c r="CX12" s="205">
        <f t="shared" si="3"/>
        <v>20548.727508652148</v>
      </c>
      <c r="CY12" s="205">
        <f t="shared" si="3"/>
        <v>20548.727508652148</v>
      </c>
      <c r="CZ12" s="205">
        <f t="shared" si="3"/>
        <v>20548.727508652148</v>
      </c>
      <c r="DA12" s="205">
        <f t="shared" si="3"/>
        <v>20548.727508652148</v>
      </c>
      <c r="DB12" s="205"/>
    </row>
    <row r="13" spans="1:106">
      <c r="A13" s="202" t="str">
        <f>Income!A83</f>
        <v>Food transfer - official</v>
      </c>
      <c r="B13" s="204">
        <f>Income!B83</f>
        <v>5743.6065157120338</v>
      </c>
      <c r="C13" s="204">
        <f>Income!C83</f>
        <v>6022.8523753089175</v>
      </c>
      <c r="D13" s="204">
        <f>Income!D83</f>
        <v>4832.0335671375506</v>
      </c>
      <c r="E13" s="204">
        <f>Income!E83</f>
        <v>1504.8728208852517</v>
      </c>
      <c r="F13" s="205">
        <f t="shared" si="4"/>
        <v>5743.6065157120338</v>
      </c>
      <c r="G13" s="205">
        <f t="shared" si="4"/>
        <v>5743.6065157120338</v>
      </c>
      <c r="H13" s="205">
        <f t="shared" si="4"/>
        <v>5743.6065157120338</v>
      </c>
      <c r="I13" s="205">
        <f t="shared" si="4"/>
        <v>5743.6065157120338</v>
      </c>
      <c r="J13" s="205">
        <f t="shared" si="4"/>
        <v>5743.6065157120338</v>
      </c>
      <c r="K13" s="205">
        <f t="shared" si="4"/>
        <v>5743.6065157120338</v>
      </c>
      <c r="L13" s="205">
        <f t="shared" si="4"/>
        <v>5743.6065157120338</v>
      </c>
      <c r="M13" s="205">
        <f t="shared" si="4"/>
        <v>5743.6065157120338</v>
      </c>
      <c r="N13" s="205">
        <f t="shared" si="4"/>
        <v>5743.6065157120338</v>
      </c>
      <c r="O13" s="205">
        <f t="shared" si="4"/>
        <v>5743.6065157120338</v>
      </c>
      <c r="P13" s="205">
        <f t="shared" si="4"/>
        <v>5743.6065157120338</v>
      </c>
      <c r="Q13" s="205">
        <f t="shared" si="4"/>
        <v>5743.6065157120338</v>
      </c>
      <c r="R13" s="205">
        <f t="shared" si="4"/>
        <v>5743.6065157120338</v>
      </c>
      <c r="S13" s="205">
        <f t="shared" si="4"/>
        <v>5743.6065157120338</v>
      </c>
      <c r="T13" s="205">
        <f t="shared" si="4"/>
        <v>5743.6065157120338</v>
      </c>
      <c r="U13" s="205">
        <f t="shared" si="4"/>
        <v>5743.6065157120338</v>
      </c>
      <c r="V13" s="205">
        <f t="shared" si="6"/>
        <v>5743.6065157120338</v>
      </c>
      <c r="W13" s="205">
        <f t="shared" si="6"/>
        <v>5743.6065157120338</v>
      </c>
      <c r="X13" s="205">
        <f t="shared" si="6"/>
        <v>5743.6065157120338</v>
      </c>
      <c r="Y13" s="205">
        <f t="shared" si="6"/>
        <v>5743.6065157120338</v>
      </c>
      <c r="Z13" s="205">
        <f t="shared" si="6"/>
        <v>5743.6065157120338</v>
      </c>
      <c r="AA13" s="205">
        <f t="shared" si="6"/>
        <v>5743.6065157120338</v>
      </c>
      <c r="AB13" s="205">
        <f t="shared" si="6"/>
        <v>5743.6065157120338</v>
      </c>
      <c r="AC13" s="205">
        <f t="shared" si="6"/>
        <v>5743.6065157120338</v>
      </c>
      <c r="AD13" s="205">
        <f t="shared" si="6"/>
        <v>5743.6065157120338</v>
      </c>
      <c r="AE13" s="205">
        <f t="shared" si="6"/>
        <v>5743.6065157120338</v>
      </c>
      <c r="AF13" s="205">
        <f t="shared" si="6"/>
        <v>5743.6065157120338</v>
      </c>
      <c r="AG13" s="205">
        <f t="shared" si="6"/>
        <v>5743.6065157120338</v>
      </c>
      <c r="AH13" s="205">
        <f t="shared" si="6"/>
        <v>5743.6065157120338</v>
      </c>
      <c r="AI13" s="205">
        <f t="shared" si="6"/>
        <v>6022.8523753089175</v>
      </c>
      <c r="AJ13" s="205">
        <f t="shared" si="6"/>
        <v>6022.8523753089175</v>
      </c>
      <c r="AK13" s="205">
        <f t="shared" si="6"/>
        <v>6022.8523753089175</v>
      </c>
      <c r="AL13" s="205">
        <f t="shared" si="7"/>
        <v>6022.8523753089175</v>
      </c>
      <c r="AM13" s="205">
        <f t="shared" si="7"/>
        <v>6022.8523753089175</v>
      </c>
      <c r="AN13" s="205">
        <f t="shared" si="7"/>
        <v>6022.8523753089175</v>
      </c>
      <c r="AO13" s="205">
        <f t="shared" si="7"/>
        <v>6022.8523753089175</v>
      </c>
      <c r="AP13" s="205">
        <f t="shared" si="7"/>
        <v>6022.8523753089175</v>
      </c>
      <c r="AQ13" s="205">
        <f t="shared" si="7"/>
        <v>6022.8523753089175</v>
      </c>
      <c r="AR13" s="205">
        <f t="shared" si="7"/>
        <v>6022.8523753089175</v>
      </c>
      <c r="AS13" s="205">
        <f t="shared" si="7"/>
        <v>6022.8523753089175</v>
      </c>
      <c r="AT13" s="205">
        <f t="shared" si="7"/>
        <v>6022.8523753089175</v>
      </c>
      <c r="AU13" s="205">
        <f t="shared" si="7"/>
        <v>6022.8523753089175</v>
      </c>
      <c r="AV13" s="205">
        <f t="shared" si="7"/>
        <v>6022.8523753089175</v>
      </c>
      <c r="AW13" s="205">
        <f t="shared" si="7"/>
        <v>6022.8523753089175</v>
      </c>
      <c r="AX13" s="205">
        <f t="shared" si="8"/>
        <v>6022.8523753089175</v>
      </c>
      <c r="AY13" s="205">
        <f t="shared" si="8"/>
        <v>6022.8523753089175</v>
      </c>
      <c r="AZ13" s="205">
        <f t="shared" si="8"/>
        <v>6022.8523753089175</v>
      </c>
      <c r="BA13" s="205">
        <f t="shared" si="8"/>
        <v>6022.8523753089175</v>
      </c>
      <c r="BB13" s="205">
        <f t="shared" si="8"/>
        <v>6022.8523753089175</v>
      </c>
      <c r="BC13" s="205">
        <f t="shared" si="8"/>
        <v>6022.8523753089175</v>
      </c>
      <c r="BD13" s="205">
        <f t="shared" si="8"/>
        <v>6022.8523753089175</v>
      </c>
      <c r="BE13" s="205">
        <f t="shared" si="8"/>
        <v>6022.8523753089175</v>
      </c>
      <c r="BF13" s="205">
        <f t="shared" si="8"/>
        <v>6022.8523753089175</v>
      </c>
      <c r="BG13" s="205">
        <f t="shared" si="8"/>
        <v>6022.8523753089175</v>
      </c>
      <c r="BH13" s="205">
        <f t="shared" si="8"/>
        <v>6022.8523753089175</v>
      </c>
      <c r="BI13" s="205">
        <f t="shared" si="8"/>
        <v>6022.8523753089175</v>
      </c>
      <c r="BJ13" s="205">
        <f t="shared" si="8"/>
        <v>6022.8523753089175</v>
      </c>
      <c r="BK13" s="205">
        <f t="shared" si="8"/>
        <v>6022.8523753089175</v>
      </c>
      <c r="BL13" s="205">
        <f t="shared" si="8"/>
        <v>6022.8523753089175</v>
      </c>
      <c r="BM13" s="205">
        <f t="shared" si="8"/>
        <v>6022.8523753089175</v>
      </c>
      <c r="BN13" s="205">
        <f t="shared" si="8"/>
        <v>6022.8523753089175</v>
      </c>
      <c r="BO13" s="205">
        <f t="shared" si="8"/>
        <v>6022.8523753089175</v>
      </c>
      <c r="BP13" s="205">
        <f t="shared" si="8"/>
        <v>6022.8523753089175</v>
      </c>
      <c r="BQ13" s="205">
        <f t="shared" si="8"/>
        <v>6022.8523753089175</v>
      </c>
      <c r="BR13" s="205">
        <f t="shared" si="8"/>
        <v>6022.8523753089175</v>
      </c>
      <c r="BS13" s="205">
        <f t="shared" si="8"/>
        <v>6022.8523753089175</v>
      </c>
      <c r="BT13" s="205">
        <f t="shared" si="8"/>
        <v>6022.8523753089175</v>
      </c>
      <c r="BU13" s="205">
        <f t="shared" si="8"/>
        <v>6022.8523753089175</v>
      </c>
      <c r="BV13" s="205">
        <f t="shared" si="8"/>
        <v>6022.8523753089175</v>
      </c>
      <c r="BW13" s="205">
        <f t="shared" si="8"/>
        <v>6022.8523753089175</v>
      </c>
      <c r="BX13" s="205">
        <f t="shared" si="8"/>
        <v>6022.8523753089175</v>
      </c>
      <c r="BY13" s="205">
        <f t="shared" si="8"/>
        <v>4832.0335671375506</v>
      </c>
      <c r="BZ13" s="205">
        <f t="shared" si="8"/>
        <v>4832.0335671375506</v>
      </c>
      <c r="CA13" s="205">
        <f t="shared" si="2"/>
        <v>4832.0335671375506</v>
      </c>
      <c r="CB13" s="205">
        <f t="shared" si="2"/>
        <v>4832.0335671375506</v>
      </c>
      <c r="CC13" s="205">
        <f t="shared" si="2"/>
        <v>4832.0335671375506</v>
      </c>
      <c r="CD13" s="205">
        <f t="shared" si="2"/>
        <v>4832.0335671375506</v>
      </c>
      <c r="CE13" s="205">
        <f t="shared" si="2"/>
        <v>4832.0335671375506</v>
      </c>
      <c r="CF13" s="205">
        <f t="shared" si="2"/>
        <v>4832.0335671375506</v>
      </c>
      <c r="CG13" s="205">
        <f t="shared" si="2"/>
        <v>4832.0335671375506</v>
      </c>
      <c r="CH13" s="205">
        <f t="shared" si="2"/>
        <v>4832.0335671375506</v>
      </c>
      <c r="CI13" s="205">
        <f t="shared" si="2"/>
        <v>4832.0335671375506</v>
      </c>
      <c r="CJ13" s="205">
        <f t="shared" si="2"/>
        <v>4832.0335671375506</v>
      </c>
      <c r="CK13" s="205">
        <f t="shared" si="2"/>
        <v>4832.0335671375506</v>
      </c>
      <c r="CL13" s="205">
        <f t="shared" si="2"/>
        <v>4832.0335671375506</v>
      </c>
      <c r="CM13" s="205">
        <f t="shared" si="2"/>
        <v>4832.0335671375506</v>
      </c>
      <c r="CN13" s="205">
        <f t="shared" si="2"/>
        <v>4832.0335671375506</v>
      </c>
      <c r="CO13" s="205">
        <f t="shared" si="2"/>
        <v>4832.0335671375506</v>
      </c>
      <c r="CP13" s="205">
        <f t="shared" si="2"/>
        <v>4832.0335671375506</v>
      </c>
      <c r="CQ13" s="205">
        <f t="shared" si="2"/>
        <v>1504.8728208852517</v>
      </c>
      <c r="CR13" s="205">
        <f t="shared" si="2"/>
        <v>1504.8728208852517</v>
      </c>
      <c r="CS13" s="205">
        <f t="shared" si="3"/>
        <v>1504.8728208852517</v>
      </c>
      <c r="CT13" s="205">
        <f t="shared" si="3"/>
        <v>1504.8728208852517</v>
      </c>
      <c r="CU13" s="205">
        <f t="shared" si="3"/>
        <v>1504.8728208852517</v>
      </c>
      <c r="CV13" s="205">
        <f t="shared" si="3"/>
        <v>1504.8728208852517</v>
      </c>
      <c r="CW13" s="205">
        <f t="shared" si="3"/>
        <v>1504.8728208852517</v>
      </c>
      <c r="CX13" s="205">
        <f t="shared" si="3"/>
        <v>1504.8728208852517</v>
      </c>
      <c r="CY13" s="205">
        <f t="shared" si="3"/>
        <v>1504.8728208852517</v>
      </c>
      <c r="CZ13" s="205">
        <f t="shared" si="3"/>
        <v>1504.8728208852517</v>
      </c>
      <c r="DA13" s="205">
        <f t="shared" si="3"/>
        <v>1504.8728208852517</v>
      </c>
      <c r="DB13" s="205"/>
    </row>
    <row r="14" spans="1:106">
      <c r="A14" s="202" t="str">
        <f>Income!A85</f>
        <v>Cash transfer - official</v>
      </c>
      <c r="B14" s="204">
        <f>Income!B85</f>
        <v>11008.246879635082</v>
      </c>
      <c r="C14" s="204">
        <f>Income!C85</f>
        <v>0</v>
      </c>
      <c r="D14" s="204">
        <f>Income!D85</f>
        <v>0</v>
      </c>
      <c r="E14" s="204">
        <f>Income!E85</f>
        <v>0</v>
      </c>
      <c r="F14" s="205">
        <f t="shared" si="4"/>
        <v>11008.246879635082</v>
      </c>
      <c r="G14" s="205">
        <f t="shared" si="4"/>
        <v>11008.246879635082</v>
      </c>
      <c r="H14" s="205">
        <f t="shared" si="4"/>
        <v>11008.246879635082</v>
      </c>
      <c r="I14" s="205">
        <f t="shared" si="4"/>
        <v>11008.246879635082</v>
      </c>
      <c r="J14" s="205">
        <f t="shared" si="4"/>
        <v>11008.246879635082</v>
      </c>
      <c r="K14" s="205">
        <f t="shared" si="4"/>
        <v>11008.246879635082</v>
      </c>
      <c r="L14" s="205">
        <f t="shared" si="4"/>
        <v>11008.246879635082</v>
      </c>
      <c r="M14" s="205">
        <f t="shared" si="4"/>
        <v>11008.246879635082</v>
      </c>
      <c r="N14" s="205">
        <f t="shared" si="4"/>
        <v>11008.246879635082</v>
      </c>
      <c r="O14" s="205">
        <f t="shared" si="4"/>
        <v>11008.246879635082</v>
      </c>
      <c r="P14" s="205">
        <f t="shared" si="4"/>
        <v>11008.246879635082</v>
      </c>
      <c r="Q14" s="205">
        <f t="shared" si="4"/>
        <v>11008.246879635082</v>
      </c>
      <c r="R14" s="205">
        <f t="shared" si="4"/>
        <v>11008.246879635082</v>
      </c>
      <c r="S14" s="205">
        <f t="shared" si="4"/>
        <v>11008.246879635082</v>
      </c>
      <c r="T14" s="205">
        <f t="shared" si="4"/>
        <v>11008.246879635082</v>
      </c>
      <c r="U14" s="205">
        <f t="shared" si="4"/>
        <v>11008.246879635082</v>
      </c>
      <c r="V14" s="205">
        <f t="shared" si="6"/>
        <v>11008.246879635082</v>
      </c>
      <c r="W14" s="205">
        <f t="shared" si="6"/>
        <v>11008.246879635082</v>
      </c>
      <c r="X14" s="205">
        <f t="shared" si="6"/>
        <v>11008.246879635082</v>
      </c>
      <c r="Y14" s="205">
        <f t="shared" si="6"/>
        <v>11008.246879635082</v>
      </c>
      <c r="Z14" s="205">
        <f t="shared" si="6"/>
        <v>11008.246879635082</v>
      </c>
      <c r="AA14" s="205">
        <f t="shared" si="6"/>
        <v>11008.246879635082</v>
      </c>
      <c r="AB14" s="205">
        <f t="shared" si="6"/>
        <v>11008.246879635082</v>
      </c>
      <c r="AC14" s="205">
        <f t="shared" si="6"/>
        <v>11008.246879635082</v>
      </c>
      <c r="AD14" s="205">
        <f t="shared" si="6"/>
        <v>11008.246879635082</v>
      </c>
      <c r="AE14" s="205">
        <f t="shared" si="6"/>
        <v>11008.246879635082</v>
      </c>
      <c r="AF14" s="205">
        <f t="shared" si="6"/>
        <v>11008.246879635082</v>
      </c>
      <c r="AG14" s="205">
        <f t="shared" si="6"/>
        <v>11008.246879635082</v>
      </c>
      <c r="AH14" s="205">
        <f t="shared" si="6"/>
        <v>11008.246879635082</v>
      </c>
      <c r="AI14" s="205">
        <f t="shared" si="6"/>
        <v>0</v>
      </c>
      <c r="AJ14" s="205">
        <f t="shared" si="6"/>
        <v>0</v>
      </c>
      <c r="AK14" s="205">
        <f t="shared" si="6"/>
        <v>0</v>
      </c>
      <c r="AL14" s="205">
        <f t="shared" si="7"/>
        <v>0</v>
      </c>
      <c r="AM14" s="205">
        <f t="shared" si="7"/>
        <v>0</v>
      </c>
      <c r="AN14" s="205">
        <f t="shared" si="7"/>
        <v>0</v>
      </c>
      <c r="AO14" s="205">
        <f t="shared" si="7"/>
        <v>0</v>
      </c>
      <c r="AP14" s="205">
        <f t="shared" si="7"/>
        <v>0</v>
      </c>
      <c r="AQ14" s="205">
        <f t="shared" si="7"/>
        <v>0</v>
      </c>
      <c r="AR14" s="205">
        <f t="shared" si="7"/>
        <v>0</v>
      </c>
      <c r="AS14" s="205">
        <f t="shared" si="7"/>
        <v>0</v>
      </c>
      <c r="AT14" s="205">
        <f t="shared" si="7"/>
        <v>0</v>
      </c>
      <c r="AU14" s="205">
        <f t="shared" si="7"/>
        <v>0</v>
      </c>
      <c r="AV14" s="205">
        <f t="shared" si="7"/>
        <v>0</v>
      </c>
      <c r="AW14" s="205">
        <f t="shared" si="7"/>
        <v>0</v>
      </c>
      <c r="AX14" s="205">
        <f t="shared" si="7"/>
        <v>0</v>
      </c>
      <c r="AY14" s="205">
        <f t="shared" si="7"/>
        <v>0</v>
      </c>
      <c r="AZ14" s="205">
        <f t="shared" si="7"/>
        <v>0</v>
      </c>
      <c r="BA14" s="205">
        <f t="shared" si="7"/>
        <v>0</v>
      </c>
      <c r="BB14" s="205">
        <f t="shared" si="8"/>
        <v>0</v>
      </c>
      <c r="BC14" s="205">
        <f t="shared" si="8"/>
        <v>0</v>
      </c>
      <c r="BD14" s="205">
        <f t="shared" si="8"/>
        <v>0</v>
      </c>
      <c r="BE14" s="205">
        <f t="shared" si="8"/>
        <v>0</v>
      </c>
      <c r="BF14" s="205">
        <f t="shared" si="8"/>
        <v>0</v>
      </c>
      <c r="BG14" s="205">
        <f t="shared" si="8"/>
        <v>0</v>
      </c>
      <c r="BH14" s="205">
        <f t="shared" si="8"/>
        <v>0</v>
      </c>
      <c r="BI14" s="205">
        <f t="shared" si="8"/>
        <v>0</v>
      </c>
      <c r="BJ14" s="205">
        <f t="shared" si="8"/>
        <v>0</v>
      </c>
      <c r="BK14" s="205">
        <f t="shared" si="8"/>
        <v>0</v>
      </c>
      <c r="BL14" s="205">
        <f t="shared" si="8"/>
        <v>0</v>
      </c>
      <c r="BM14" s="205">
        <f t="shared" si="8"/>
        <v>0</v>
      </c>
      <c r="BN14" s="205">
        <f t="shared" si="8"/>
        <v>0</v>
      </c>
      <c r="BO14" s="205">
        <f t="shared" si="8"/>
        <v>0</v>
      </c>
      <c r="BP14" s="205">
        <f t="shared" si="8"/>
        <v>0</v>
      </c>
      <c r="BQ14" s="205">
        <f t="shared" si="8"/>
        <v>0</v>
      </c>
      <c r="BR14" s="205">
        <f t="shared" si="8"/>
        <v>0</v>
      </c>
      <c r="BS14" s="205">
        <f t="shared" si="8"/>
        <v>0</v>
      </c>
      <c r="BT14" s="205">
        <f t="shared" si="8"/>
        <v>0</v>
      </c>
      <c r="BU14" s="205">
        <f t="shared" si="8"/>
        <v>0</v>
      </c>
      <c r="BV14" s="205">
        <f t="shared" si="8"/>
        <v>0</v>
      </c>
      <c r="BW14" s="205">
        <f t="shared" si="8"/>
        <v>0</v>
      </c>
      <c r="BX14" s="205">
        <f t="shared" si="8"/>
        <v>0</v>
      </c>
      <c r="BY14" s="205">
        <f t="shared" si="8"/>
        <v>0</v>
      </c>
      <c r="BZ14" s="205">
        <f t="shared" si="8"/>
        <v>0</v>
      </c>
      <c r="CA14" s="205">
        <f t="shared" si="2"/>
        <v>0</v>
      </c>
      <c r="CB14" s="205">
        <f t="shared" si="2"/>
        <v>0</v>
      </c>
      <c r="CC14" s="205">
        <f t="shared" si="2"/>
        <v>0</v>
      </c>
      <c r="CD14" s="205">
        <f t="shared" si="2"/>
        <v>0</v>
      </c>
      <c r="CE14" s="205">
        <f t="shared" si="2"/>
        <v>0</v>
      </c>
      <c r="CF14" s="205">
        <f t="shared" si="2"/>
        <v>0</v>
      </c>
      <c r="CG14" s="205">
        <f t="shared" si="2"/>
        <v>0</v>
      </c>
      <c r="CH14" s="205">
        <f t="shared" si="2"/>
        <v>0</v>
      </c>
      <c r="CI14" s="205">
        <f t="shared" si="2"/>
        <v>0</v>
      </c>
      <c r="CJ14" s="205">
        <f t="shared" si="2"/>
        <v>0</v>
      </c>
      <c r="CK14" s="205">
        <f t="shared" si="2"/>
        <v>0</v>
      </c>
      <c r="CL14" s="205">
        <f t="shared" si="2"/>
        <v>0</v>
      </c>
      <c r="CM14" s="205">
        <f t="shared" si="2"/>
        <v>0</v>
      </c>
      <c r="CN14" s="205">
        <f t="shared" si="2"/>
        <v>0</v>
      </c>
      <c r="CO14" s="205">
        <f t="shared" si="2"/>
        <v>0</v>
      </c>
      <c r="CP14" s="205">
        <f t="shared" si="2"/>
        <v>0</v>
      </c>
      <c r="CQ14" s="205">
        <f t="shared" si="2"/>
        <v>0</v>
      </c>
      <c r="CR14" s="205">
        <f t="shared" si="2"/>
        <v>0</v>
      </c>
      <c r="CS14" s="205">
        <f t="shared" si="3"/>
        <v>0</v>
      </c>
      <c r="CT14" s="205">
        <f t="shared" si="3"/>
        <v>0</v>
      </c>
      <c r="CU14" s="205">
        <f t="shared" si="3"/>
        <v>0</v>
      </c>
      <c r="CV14" s="205">
        <f t="shared" si="3"/>
        <v>0</v>
      </c>
      <c r="CW14" s="205">
        <f t="shared" si="3"/>
        <v>0</v>
      </c>
      <c r="CX14" s="205">
        <f t="shared" si="3"/>
        <v>0</v>
      </c>
      <c r="CY14" s="205">
        <f t="shared" si="3"/>
        <v>0</v>
      </c>
      <c r="CZ14" s="205">
        <f t="shared" si="3"/>
        <v>0</v>
      </c>
      <c r="DA14" s="205">
        <f t="shared" si="3"/>
        <v>0</v>
      </c>
      <c r="DB14" s="205"/>
    </row>
    <row r="15" spans="1:106">
      <c r="A15" s="202" t="str">
        <f>Income!A86</f>
        <v>Cash transfer - gifts</v>
      </c>
      <c r="B15" s="204">
        <f>Income!B86</f>
        <v>0</v>
      </c>
      <c r="C15" s="204">
        <f>Income!C86</f>
        <v>3518.0522319500446</v>
      </c>
      <c r="D15" s="204">
        <f>Income!D86</f>
        <v>4368.3519363631267</v>
      </c>
      <c r="E15" s="204">
        <f>Income!E86</f>
        <v>0</v>
      </c>
      <c r="F15" s="205">
        <f t="shared" si="4"/>
        <v>0</v>
      </c>
      <c r="G15" s="205">
        <f t="shared" si="4"/>
        <v>0</v>
      </c>
      <c r="H15" s="205">
        <f t="shared" si="4"/>
        <v>0</v>
      </c>
      <c r="I15" s="205">
        <f t="shared" si="4"/>
        <v>0</v>
      </c>
      <c r="J15" s="205">
        <f t="shared" si="4"/>
        <v>0</v>
      </c>
      <c r="K15" s="205">
        <f t="shared" si="4"/>
        <v>0</v>
      </c>
      <c r="L15" s="205">
        <f t="shared" si="4"/>
        <v>0</v>
      </c>
      <c r="M15" s="205">
        <f t="shared" si="4"/>
        <v>0</v>
      </c>
      <c r="N15" s="205">
        <f t="shared" si="4"/>
        <v>0</v>
      </c>
      <c r="O15" s="205">
        <f t="shared" si="4"/>
        <v>0</v>
      </c>
      <c r="P15" s="205">
        <f t="shared" si="4"/>
        <v>0</v>
      </c>
      <c r="Q15" s="205">
        <f t="shared" si="4"/>
        <v>0</v>
      </c>
      <c r="R15" s="205">
        <f t="shared" si="4"/>
        <v>0</v>
      </c>
      <c r="S15" s="205">
        <f t="shared" si="4"/>
        <v>0</v>
      </c>
      <c r="T15" s="205">
        <f t="shared" si="4"/>
        <v>0</v>
      </c>
      <c r="U15" s="205">
        <f t="shared" si="4"/>
        <v>0</v>
      </c>
      <c r="V15" s="205">
        <f t="shared" si="6"/>
        <v>0</v>
      </c>
      <c r="W15" s="205">
        <f t="shared" si="6"/>
        <v>0</v>
      </c>
      <c r="X15" s="205">
        <f t="shared" si="6"/>
        <v>0</v>
      </c>
      <c r="Y15" s="205">
        <f t="shared" si="6"/>
        <v>0</v>
      </c>
      <c r="Z15" s="205">
        <f t="shared" si="6"/>
        <v>0</v>
      </c>
      <c r="AA15" s="205">
        <f t="shared" si="6"/>
        <v>0</v>
      </c>
      <c r="AB15" s="205">
        <f t="shared" si="6"/>
        <v>0</v>
      </c>
      <c r="AC15" s="205">
        <f t="shared" si="6"/>
        <v>0</v>
      </c>
      <c r="AD15" s="205">
        <f t="shared" si="6"/>
        <v>0</v>
      </c>
      <c r="AE15" s="205">
        <f t="shared" si="6"/>
        <v>0</v>
      </c>
      <c r="AF15" s="205">
        <f t="shared" si="6"/>
        <v>0</v>
      </c>
      <c r="AG15" s="205">
        <f t="shared" si="6"/>
        <v>0</v>
      </c>
      <c r="AH15" s="205">
        <f t="shared" si="6"/>
        <v>0</v>
      </c>
      <c r="AI15" s="205">
        <f t="shared" si="6"/>
        <v>3518.0522319500446</v>
      </c>
      <c r="AJ15" s="205">
        <f t="shared" si="6"/>
        <v>3518.0522319500446</v>
      </c>
      <c r="AK15" s="205">
        <f t="shared" si="6"/>
        <v>3518.0522319500446</v>
      </c>
      <c r="AL15" s="205">
        <f t="shared" si="7"/>
        <v>3518.0522319500446</v>
      </c>
      <c r="AM15" s="205">
        <f t="shared" si="7"/>
        <v>3518.0522319500446</v>
      </c>
      <c r="AN15" s="205">
        <f t="shared" si="7"/>
        <v>3518.0522319500446</v>
      </c>
      <c r="AO15" s="205">
        <f t="shared" si="7"/>
        <v>3518.0522319500446</v>
      </c>
      <c r="AP15" s="205">
        <f t="shared" si="7"/>
        <v>3518.0522319500446</v>
      </c>
      <c r="AQ15" s="205">
        <f t="shared" si="7"/>
        <v>3518.0522319500446</v>
      </c>
      <c r="AR15" s="205">
        <f t="shared" si="7"/>
        <v>3518.0522319500446</v>
      </c>
      <c r="AS15" s="205">
        <f t="shared" si="7"/>
        <v>3518.0522319500446</v>
      </c>
      <c r="AT15" s="205">
        <f t="shared" si="7"/>
        <v>3518.0522319500446</v>
      </c>
      <c r="AU15" s="205">
        <f t="shared" si="7"/>
        <v>3518.0522319500446</v>
      </c>
      <c r="AV15" s="205">
        <f t="shared" si="7"/>
        <v>3518.0522319500446</v>
      </c>
      <c r="AW15" s="205">
        <f t="shared" si="7"/>
        <v>3518.0522319500446</v>
      </c>
      <c r="AX15" s="205">
        <f t="shared" si="8"/>
        <v>3518.0522319500446</v>
      </c>
      <c r="AY15" s="205">
        <f t="shared" si="8"/>
        <v>3518.0522319500446</v>
      </c>
      <c r="AZ15" s="205">
        <f t="shared" si="8"/>
        <v>3518.0522319500446</v>
      </c>
      <c r="BA15" s="205">
        <f t="shared" si="8"/>
        <v>3518.0522319500446</v>
      </c>
      <c r="BB15" s="205">
        <f t="shared" si="8"/>
        <v>3518.0522319500446</v>
      </c>
      <c r="BC15" s="205">
        <f t="shared" si="8"/>
        <v>3518.0522319500446</v>
      </c>
      <c r="BD15" s="205">
        <f t="shared" si="8"/>
        <v>3518.0522319500446</v>
      </c>
      <c r="BE15" s="205">
        <f t="shared" si="8"/>
        <v>3518.0522319500446</v>
      </c>
      <c r="BF15" s="205">
        <f t="shared" si="8"/>
        <v>3518.0522319500446</v>
      </c>
      <c r="BG15" s="205">
        <f t="shared" si="8"/>
        <v>3518.0522319500446</v>
      </c>
      <c r="BH15" s="205">
        <f t="shared" si="8"/>
        <v>3518.0522319500446</v>
      </c>
      <c r="BI15" s="205">
        <f t="shared" si="8"/>
        <v>3518.0522319500446</v>
      </c>
      <c r="BJ15" s="205">
        <f t="shared" si="8"/>
        <v>3518.0522319500446</v>
      </c>
      <c r="BK15" s="205">
        <f t="shared" si="8"/>
        <v>3518.0522319500446</v>
      </c>
      <c r="BL15" s="205">
        <f t="shared" si="8"/>
        <v>3518.0522319500446</v>
      </c>
      <c r="BM15" s="205">
        <f t="shared" si="8"/>
        <v>3518.0522319500446</v>
      </c>
      <c r="BN15" s="205">
        <f t="shared" si="8"/>
        <v>3518.0522319500446</v>
      </c>
      <c r="BO15" s="205">
        <f t="shared" si="8"/>
        <v>3518.0522319500446</v>
      </c>
      <c r="BP15" s="205">
        <f t="shared" si="8"/>
        <v>3518.0522319500446</v>
      </c>
      <c r="BQ15" s="205">
        <f t="shared" si="8"/>
        <v>3518.0522319500446</v>
      </c>
      <c r="BR15" s="205">
        <f t="shared" si="8"/>
        <v>3518.0522319500446</v>
      </c>
      <c r="BS15" s="205">
        <f t="shared" si="8"/>
        <v>3518.0522319500446</v>
      </c>
      <c r="BT15" s="205">
        <f t="shared" si="8"/>
        <v>3518.0522319500446</v>
      </c>
      <c r="BU15" s="205">
        <f t="shared" si="8"/>
        <v>3518.0522319500446</v>
      </c>
      <c r="BV15" s="205">
        <f t="shared" si="8"/>
        <v>3518.0522319500446</v>
      </c>
      <c r="BW15" s="205">
        <f t="shared" si="8"/>
        <v>3518.0522319500446</v>
      </c>
      <c r="BX15" s="205">
        <f t="shared" si="8"/>
        <v>3518.0522319500446</v>
      </c>
      <c r="BY15" s="205">
        <f t="shared" si="8"/>
        <v>4368.3519363631267</v>
      </c>
      <c r="BZ15" s="205">
        <f t="shared" si="8"/>
        <v>4368.3519363631267</v>
      </c>
      <c r="CA15" s="205">
        <f t="shared" si="2"/>
        <v>4368.3519363631267</v>
      </c>
      <c r="CB15" s="205">
        <f t="shared" si="2"/>
        <v>4368.3519363631267</v>
      </c>
      <c r="CC15" s="205">
        <f t="shared" si="2"/>
        <v>4368.3519363631267</v>
      </c>
      <c r="CD15" s="205">
        <f t="shared" ref="CC15:CR18" si="9">IF(CD$2&lt;=($B$2+$C$2+$D$2),IF(CD$2&lt;=($B$2+$C$2),IF(CD$2&lt;=$B$2,$B15,$C15),$D15),$E15)</f>
        <v>4368.3519363631267</v>
      </c>
      <c r="CE15" s="205">
        <f t="shared" si="9"/>
        <v>4368.3519363631267</v>
      </c>
      <c r="CF15" s="205">
        <f t="shared" si="9"/>
        <v>4368.3519363631267</v>
      </c>
      <c r="CG15" s="205">
        <f t="shared" si="9"/>
        <v>4368.3519363631267</v>
      </c>
      <c r="CH15" s="205">
        <f t="shared" si="9"/>
        <v>4368.3519363631267</v>
      </c>
      <c r="CI15" s="205">
        <f t="shared" si="9"/>
        <v>4368.3519363631267</v>
      </c>
      <c r="CJ15" s="205">
        <f t="shared" si="9"/>
        <v>4368.3519363631267</v>
      </c>
      <c r="CK15" s="205">
        <f t="shared" si="9"/>
        <v>4368.3519363631267</v>
      </c>
      <c r="CL15" s="205">
        <f t="shared" si="9"/>
        <v>4368.3519363631267</v>
      </c>
      <c r="CM15" s="205">
        <f t="shared" si="9"/>
        <v>4368.3519363631267</v>
      </c>
      <c r="CN15" s="205">
        <f t="shared" si="9"/>
        <v>4368.3519363631267</v>
      </c>
      <c r="CO15" s="205">
        <f t="shared" si="9"/>
        <v>4368.3519363631267</v>
      </c>
      <c r="CP15" s="205">
        <f t="shared" si="9"/>
        <v>4368.3519363631267</v>
      </c>
      <c r="CQ15" s="205">
        <f t="shared" si="9"/>
        <v>0</v>
      </c>
      <c r="CR15" s="205">
        <f t="shared" si="9"/>
        <v>0</v>
      </c>
      <c r="CS15" s="205">
        <f t="shared" si="3"/>
        <v>0</v>
      </c>
      <c r="CT15" s="205">
        <f t="shared" si="3"/>
        <v>0</v>
      </c>
      <c r="CU15" s="205">
        <f t="shared" si="3"/>
        <v>0</v>
      </c>
      <c r="CV15" s="205">
        <f t="shared" si="3"/>
        <v>0</v>
      </c>
      <c r="CW15" s="205">
        <f t="shared" si="3"/>
        <v>0</v>
      </c>
      <c r="CX15" s="205">
        <f t="shared" si="3"/>
        <v>0</v>
      </c>
      <c r="CY15" s="205">
        <f t="shared" si="3"/>
        <v>0</v>
      </c>
      <c r="CZ15" s="205">
        <f t="shared" si="3"/>
        <v>0</v>
      </c>
      <c r="DA15" s="205">
        <f t="shared" si="3"/>
        <v>0</v>
      </c>
      <c r="DB15" s="205"/>
    </row>
    <row r="16" spans="1:106">
      <c r="A16" s="202" t="s">
        <v>115</v>
      </c>
      <c r="B16" s="204">
        <f>Income!B88</f>
        <v>56141.66388001827</v>
      </c>
      <c r="C16" s="204">
        <f>Income!C88</f>
        <v>75518.552868695377</v>
      </c>
      <c r="D16" s="204">
        <f>Income!D88</f>
        <v>234929.80515275639</v>
      </c>
      <c r="E16" s="204">
        <f>Income!E88</f>
        <v>535267.73009438207</v>
      </c>
      <c r="F16" s="205">
        <f t="shared" si="4"/>
        <v>56141.66388001827</v>
      </c>
      <c r="G16" s="205">
        <f t="shared" si="4"/>
        <v>56141.66388001827</v>
      </c>
      <c r="H16" s="205">
        <f t="shared" si="4"/>
        <v>56141.66388001827</v>
      </c>
      <c r="I16" s="205">
        <f t="shared" si="4"/>
        <v>56141.66388001827</v>
      </c>
      <c r="J16" s="205">
        <f t="shared" si="4"/>
        <v>56141.66388001827</v>
      </c>
      <c r="K16" s="205">
        <f t="shared" si="4"/>
        <v>56141.66388001827</v>
      </c>
      <c r="L16" s="205">
        <f t="shared" si="4"/>
        <v>56141.66388001827</v>
      </c>
      <c r="M16" s="205">
        <f t="shared" si="4"/>
        <v>56141.66388001827</v>
      </c>
      <c r="N16" s="205">
        <f t="shared" si="4"/>
        <v>56141.66388001827</v>
      </c>
      <c r="O16" s="205">
        <f t="shared" si="4"/>
        <v>56141.66388001827</v>
      </c>
      <c r="P16" s="205">
        <f t="shared" si="4"/>
        <v>56141.66388001827</v>
      </c>
      <c r="Q16" s="205">
        <f t="shared" si="4"/>
        <v>56141.66388001827</v>
      </c>
      <c r="R16" s="205">
        <f t="shared" si="4"/>
        <v>56141.66388001827</v>
      </c>
      <c r="S16" s="205">
        <f t="shared" si="4"/>
        <v>56141.66388001827</v>
      </c>
      <c r="T16" s="205">
        <f t="shared" si="4"/>
        <v>56141.66388001827</v>
      </c>
      <c r="U16" s="205">
        <f t="shared" si="4"/>
        <v>56141.66388001827</v>
      </c>
      <c r="V16" s="205">
        <f t="shared" si="6"/>
        <v>56141.66388001827</v>
      </c>
      <c r="W16" s="205">
        <f t="shared" si="6"/>
        <v>56141.66388001827</v>
      </c>
      <c r="X16" s="205">
        <f t="shared" si="6"/>
        <v>56141.66388001827</v>
      </c>
      <c r="Y16" s="205">
        <f t="shared" si="6"/>
        <v>56141.66388001827</v>
      </c>
      <c r="Z16" s="205">
        <f t="shared" si="6"/>
        <v>56141.66388001827</v>
      </c>
      <c r="AA16" s="205">
        <f t="shared" si="6"/>
        <v>56141.66388001827</v>
      </c>
      <c r="AB16" s="205">
        <f t="shared" si="6"/>
        <v>56141.66388001827</v>
      </c>
      <c r="AC16" s="205">
        <f t="shared" si="6"/>
        <v>56141.66388001827</v>
      </c>
      <c r="AD16" s="205">
        <f t="shared" si="6"/>
        <v>56141.66388001827</v>
      </c>
      <c r="AE16" s="205">
        <f>IF(AE$2&lt;=($B$2+$C$2+$D$2),IF(AE$2&lt;=($B$2+$C$2),IF(AE$2&lt;=$B$2,$B16,$C16),$D16),$E16)</f>
        <v>56141.66388001827</v>
      </c>
      <c r="AF16" s="205">
        <f t="shared" si="6"/>
        <v>56141.66388001827</v>
      </c>
      <c r="AG16" s="205">
        <f t="shared" si="6"/>
        <v>56141.66388001827</v>
      </c>
      <c r="AH16" s="205">
        <f t="shared" si="6"/>
        <v>56141.66388001827</v>
      </c>
      <c r="AI16" s="205">
        <f t="shared" si="6"/>
        <v>75518.552868695377</v>
      </c>
      <c r="AJ16" s="205">
        <f t="shared" si="6"/>
        <v>75518.552868695377</v>
      </c>
      <c r="AK16" s="205">
        <f t="shared" si="6"/>
        <v>75518.552868695377</v>
      </c>
      <c r="AL16" s="205">
        <f t="shared" si="7"/>
        <v>75518.552868695377</v>
      </c>
      <c r="AM16" s="205">
        <f t="shared" si="7"/>
        <v>75518.552868695377</v>
      </c>
      <c r="AN16" s="205">
        <f t="shared" si="7"/>
        <v>75518.552868695377</v>
      </c>
      <c r="AO16" s="205">
        <f t="shared" si="7"/>
        <v>75518.552868695377</v>
      </c>
      <c r="AP16" s="205">
        <f t="shared" si="7"/>
        <v>75518.552868695377</v>
      </c>
      <c r="AQ16" s="205">
        <f t="shared" si="7"/>
        <v>75518.552868695377</v>
      </c>
      <c r="AR16" s="205">
        <f t="shared" si="7"/>
        <v>75518.552868695377</v>
      </c>
      <c r="AS16" s="205">
        <f t="shared" si="7"/>
        <v>75518.552868695377</v>
      </c>
      <c r="AT16" s="205">
        <f t="shared" si="7"/>
        <v>75518.552868695377</v>
      </c>
      <c r="AU16" s="205">
        <f t="shared" si="7"/>
        <v>75518.552868695377</v>
      </c>
      <c r="AV16" s="205">
        <f t="shared" si="7"/>
        <v>75518.552868695377</v>
      </c>
      <c r="AW16" s="205">
        <f t="shared" si="7"/>
        <v>75518.552868695377</v>
      </c>
      <c r="AX16" s="205">
        <f t="shared" si="8"/>
        <v>75518.552868695377</v>
      </c>
      <c r="AY16" s="205">
        <f t="shared" si="8"/>
        <v>75518.552868695377</v>
      </c>
      <c r="AZ16" s="205">
        <f t="shared" si="8"/>
        <v>75518.552868695377</v>
      </c>
      <c r="BA16" s="205">
        <f t="shared" si="8"/>
        <v>75518.552868695377</v>
      </c>
      <c r="BB16" s="205">
        <f t="shared" si="8"/>
        <v>75518.552868695377</v>
      </c>
      <c r="BC16" s="205">
        <f t="shared" si="8"/>
        <v>75518.552868695377</v>
      </c>
      <c r="BD16" s="205">
        <f t="shared" si="8"/>
        <v>75518.552868695377</v>
      </c>
      <c r="BE16" s="205">
        <f t="shared" si="8"/>
        <v>75518.552868695377</v>
      </c>
      <c r="BF16" s="205">
        <f t="shared" si="8"/>
        <v>75518.552868695377</v>
      </c>
      <c r="BG16" s="205">
        <f t="shared" si="8"/>
        <v>75518.552868695377</v>
      </c>
      <c r="BH16" s="205">
        <f t="shared" si="8"/>
        <v>75518.552868695377</v>
      </c>
      <c r="BI16" s="205">
        <f t="shared" si="8"/>
        <v>75518.552868695377</v>
      </c>
      <c r="BJ16" s="205">
        <f t="shared" si="8"/>
        <v>75518.552868695377</v>
      </c>
      <c r="BK16" s="205">
        <f t="shared" si="8"/>
        <v>75518.552868695377</v>
      </c>
      <c r="BL16" s="205">
        <f t="shared" si="8"/>
        <v>75518.552868695377</v>
      </c>
      <c r="BM16" s="205">
        <f t="shared" si="8"/>
        <v>75518.552868695377</v>
      </c>
      <c r="BN16" s="205">
        <f t="shared" si="8"/>
        <v>75518.552868695377</v>
      </c>
      <c r="BO16" s="205">
        <f t="shared" si="8"/>
        <v>75518.552868695377</v>
      </c>
      <c r="BP16" s="205">
        <f t="shared" si="8"/>
        <v>75518.552868695377</v>
      </c>
      <c r="BQ16" s="205">
        <f t="shared" si="8"/>
        <v>75518.552868695377</v>
      </c>
      <c r="BR16" s="205">
        <f t="shared" si="8"/>
        <v>75518.552868695377</v>
      </c>
      <c r="BS16" s="205">
        <f t="shared" si="8"/>
        <v>75518.552868695377</v>
      </c>
      <c r="BT16" s="205">
        <f t="shared" si="8"/>
        <v>75518.552868695377</v>
      </c>
      <c r="BU16" s="205">
        <f t="shared" si="8"/>
        <v>75518.552868695377</v>
      </c>
      <c r="BV16" s="205">
        <f t="shared" si="8"/>
        <v>75518.552868695377</v>
      </c>
      <c r="BW16" s="205">
        <f t="shared" si="8"/>
        <v>75518.552868695377</v>
      </c>
      <c r="BX16" s="205">
        <f t="shared" si="8"/>
        <v>75518.552868695377</v>
      </c>
      <c r="BY16" s="205">
        <f t="shared" si="8"/>
        <v>234929.80515275639</v>
      </c>
      <c r="BZ16" s="205">
        <f t="shared" si="8"/>
        <v>234929.80515275639</v>
      </c>
      <c r="CA16" s="205">
        <f t="shared" ref="CA16:CB18" si="10">IF(CA$2&lt;=($B$2+$C$2+$D$2),IF(CA$2&lt;=($B$2+$C$2),IF(CA$2&lt;=$B$2,$B16,$C16),$D16),$E16)</f>
        <v>234929.80515275639</v>
      </c>
      <c r="CB16" s="205">
        <f t="shared" si="10"/>
        <v>234929.80515275639</v>
      </c>
      <c r="CC16" s="205">
        <f t="shared" si="9"/>
        <v>234929.80515275639</v>
      </c>
      <c r="CD16" s="205">
        <f t="shared" si="9"/>
        <v>234929.80515275639</v>
      </c>
      <c r="CE16" s="205">
        <f t="shared" si="9"/>
        <v>234929.80515275639</v>
      </c>
      <c r="CF16" s="205">
        <f t="shared" si="9"/>
        <v>234929.80515275639</v>
      </c>
      <c r="CG16" s="205">
        <f t="shared" si="9"/>
        <v>234929.80515275639</v>
      </c>
      <c r="CH16" s="205">
        <f t="shared" si="9"/>
        <v>234929.80515275639</v>
      </c>
      <c r="CI16" s="205">
        <f t="shared" si="9"/>
        <v>234929.80515275639</v>
      </c>
      <c r="CJ16" s="205">
        <f t="shared" si="9"/>
        <v>234929.80515275639</v>
      </c>
      <c r="CK16" s="205">
        <f t="shared" si="9"/>
        <v>234929.80515275639</v>
      </c>
      <c r="CL16" s="205">
        <f t="shared" si="9"/>
        <v>234929.80515275639</v>
      </c>
      <c r="CM16" s="205">
        <f t="shared" si="9"/>
        <v>234929.80515275639</v>
      </c>
      <c r="CN16" s="205">
        <f t="shared" si="9"/>
        <v>234929.80515275639</v>
      </c>
      <c r="CO16" s="205">
        <f t="shared" si="9"/>
        <v>234929.80515275639</v>
      </c>
      <c r="CP16" s="205">
        <f t="shared" si="9"/>
        <v>234929.80515275639</v>
      </c>
      <c r="CQ16" s="205">
        <f t="shared" si="9"/>
        <v>535267.73009438207</v>
      </c>
      <c r="CR16" s="205">
        <f t="shared" si="9"/>
        <v>535267.73009438207</v>
      </c>
      <c r="CS16" s="205">
        <f t="shared" ref="CS16:DA18" si="11">IF(CS$2&lt;=($B$2+$C$2+$D$2),IF(CS$2&lt;=($B$2+$C$2),IF(CS$2&lt;=$B$2,$B16,$C16),$D16),$E16)</f>
        <v>535267.73009438207</v>
      </c>
      <c r="CT16" s="205">
        <f t="shared" si="11"/>
        <v>535267.73009438207</v>
      </c>
      <c r="CU16" s="205">
        <f t="shared" si="11"/>
        <v>535267.73009438207</v>
      </c>
      <c r="CV16" s="205">
        <f t="shared" si="11"/>
        <v>535267.73009438207</v>
      </c>
      <c r="CW16" s="205">
        <f t="shared" si="11"/>
        <v>535267.73009438207</v>
      </c>
      <c r="CX16" s="205">
        <f t="shared" si="11"/>
        <v>535267.73009438207</v>
      </c>
      <c r="CY16" s="205">
        <f t="shared" si="11"/>
        <v>535267.73009438207</v>
      </c>
      <c r="CZ16" s="205">
        <f t="shared" si="11"/>
        <v>535267.73009438207</v>
      </c>
      <c r="DA16" s="205">
        <f t="shared" si="11"/>
        <v>535267.73009438207</v>
      </c>
      <c r="DB16" s="205"/>
    </row>
    <row r="17" spans="1:105">
      <c r="A17" s="202" t="s">
        <v>101</v>
      </c>
      <c r="B17" s="204">
        <f>Income!B89</f>
        <v>47494.887852133979</v>
      </c>
      <c r="C17" s="204">
        <f>Income!C89</f>
        <v>47494.887852133979</v>
      </c>
      <c r="D17" s="204">
        <f>Income!D89</f>
        <v>47494.887852133972</v>
      </c>
      <c r="E17" s="204">
        <f>Income!E89</f>
        <v>47494.887852133972</v>
      </c>
      <c r="F17" s="205">
        <f t="shared" si="4"/>
        <v>47494.887852133979</v>
      </c>
      <c r="G17" s="205">
        <f t="shared" si="4"/>
        <v>47494.887852133979</v>
      </c>
      <c r="H17" s="205">
        <f t="shared" si="4"/>
        <v>47494.887852133979</v>
      </c>
      <c r="I17" s="205">
        <f t="shared" si="4"/>
        <v>47494.887852133979</v>
      </c>
      <c r="J17" s="205">
        <f t="shared" si="4"/>
        <v>47494.887852133979</v>
      </c>
      <c r="K17" s="205">
        <f t="shared" si="4"/>
        <v>47494.887852133979</v>
      </c>
      <c r="L17" s="205">
        <f t="shared" si="4"/>
        <v>47494.887852133979</v>
      </c>
      <c r="M17" s="205">
        <f t="shared" si="4"/>
        <v>47494.887852133979</v>
      </c>
      <c r="N17" s="205">
        <f t="shared" si="4"/>
        <v>47494.887852133979</v>
      </c>
      <c r="O17" s="205">
        <f t="shared" si="4"/>
        <v>47494.887852133979</v>
      </c>
      <c r="P17" s="205">
        <f t="shared" si="4"/>
        <v>47494.887852133979</v>
      </c>
      <c r="Q17" s="205">
        <f t="shared" si="4"/>
        <v>47494.887852133979</v>
      </c>
      <c r="R17" s="205">
        <f t="shared" si="4"/>
        <v>47494.887852133979</v>
      </c>
      <c r="S17" s="205">
        <f t="shared" si="4"/>
        <v>47494.887852133979</v>
      </c>
      <c r="T17" s="205">
        <f t="shared" si="4"/>
        <v>47494.887852133979</v>
      </c>
      <c r="U17" s="205">
        <f t="shared" si="4"/>
        <v>47494.887852133979</v>
      </c>
      <c r="V17" s="205">
        <f t="shared" si="6"/>
        <v>47494.887852133979</v>
      </c>
      <c r="W17" s="205">
        <f t="shared" si="6"/>
        <v>47494.887852133979</v>
      </c>
      <c r="X17" s="205">
        <f t="shared" si="6"/>
        <v>47494.887852133979</v>
      </c>
      <c r="Y17" s="205">
        <f t="shared" si="6"/>
        <v>47494.887852133979</v>
      </c>
      <c r="Z17" s="205">
        <f t="shared" si="6"/>
        <v>47494.887852133979</v>
      </c>
      <c r="AA17" s="205">
        <f t="shared" si="6"/>
        <v>47494.887852133979</v>
      </c>
      <c r="AB17" s="205">
        <f t="shared" si="6"/>
        <v>47494.887852133979</v>
      </c>
      <c r="AC17" s="205">
        <f t="shared" si="6"/>
        <v>47494.887852133979</v>
      </c>
      <c r="AD17" s="205">
        <f t="shared" si="6"/>
        <v>47494.887852133979</v>
      </c>
      <c r="AE17" s="205">
        <f t="shared" si="6"/>
        <v>47494.887852133979</v>
      </c>
      <c r="AF17" s="205">
        <f t="shared" si="6"/>
        <v>47494.887852133979</v>
      </c>
      <c r="AG17" s="205">
        <f t="shared" si="6"/>
        <v>47494.887852133979</v>
      </c>
      <c r="AH17" s="205">
        <f t="shared" si="6"/>
        <v>47494.887852133979</v>
      </c>
      <c r="AI17" s="205">
        <f t="shared" si="6"/>
        <v>47494.887852133979</v>
      </c>
      <c r="AJ17" s="205">
        <f t="shared" si="6"/>
        <v>47494.887852133979</v>
      </c>
      <c r="AK17" s="205">
        <f t="shared" si="6"/>
        <v>47494.887852133979</v>
      </c>
      <c r="AL17" s="205">
        <f t="shared" si="7"/>
        <v>47494.887852133979</v>
      </c>
      <c r="AM17" s="205">
        <f t="shared" si="7"/>
        <v>47494.887852133979</v>
      </c>
      <c r="AN17" s="205">
        <f t="shared" si="7"/>
        <v>47494.887852133979</v>
      </c>
      <c r="AO17" s="205">
        <f t="shared" si="7"/>
        <v>47494.887852133979</v>
      </c>
      <c r="AP17" s="205">
        <f t="shared" si="7"/>
        <v>47494.887852133979</v>
      </c>
      <c r="AQ17" s="205">
        <f t="shared" si="7"/>
        <v>47494.887852133979</v>
      </c>
      <c r="AR17" s="205">
        <f t="shared" si="7"/>
        <v>47494.887852133979</v>
      </c>
      <c r="AS17" s="205">
        <f t="shared" si="7"/>
        <v>47494.887852133979</v>
      </c>
      <c r="AT17" s="205">
        <f t="shared" si="7"/>
        <v>47494.887852133979</v>
      </c>
      <c r="AU17" s="205">
        <f t="shared" si="7"/>
        <v>47494.887852133979</v>
      </c>
      <c r="AV17" s="205">
        <f t="shared" si="7"/>
        <v>47494.887852133979</v>
      </c>
      <c r="AW17" s="205">
        <f t="shared" si="7"/>
        <v>47494.887852133979</v>
      </c>
      <c r="AX17" s="205">
        <f t="shared" si="8"/>
        <v>47494.887852133979</v>
      </c>
      <c r="AY17" s="205">
        <f t="shared" si="8"/>
        <v>47494.887852133979</v>
      </c>
      <c r="AZ17" s="205">
        <f t="shared" si="8"/>
        <v>47494.887852133979</v>
      </c>
      <c r="BA17" s="205">
        <f t="shared" si="8"/>
        <v>47494.887852133979</v>
      </c>
      <c r="BB17" s="205">
        <f t="shared" si="8"/>
        <v>47494.887852133979</v>
      </c>
      <c r="BC17" s="205">
        <f t="shared" si="8"/>
        <v>47494.887852133979</v>
      </c>
      <c r="BD17" s="205">
        <f t="shared" si="8"/>
        <v>47494.887852133979</v>
      </c>
      <c r="BE17" s="205">
        <f t="shared" si="8"/>
        <v>47494.887852133979</v>
      </c>
      <c r="BF17" s="205">
        <f t="shared" si="8"/>
        <v>47494.887852133979</v>
      </c>
      <c r="BG17" s="205">
        <f t="shared" si="8"/>
        <v>47494.887852133979</v>
      </c>
      <c r="BH17" s="205">
        <f t="shared" si="8"/>
        <v>47494.887852133979</v>
      </c>
      <c r="BI17" s="205">
        <f t="shared" si="8"/>
        <v>47494.887852133979</v>
      </c>
      <c r="BJ17" s="205">
        <f t="shared" si="8"/>
        <v>47494.887852133979</v>
      </c>
      <c r="BK17" s="205">
        <f t="shared" si="8"/>
        <v>47494.887852133979</v>
      </c>
      <c r="BL17" s="205">
        <f t="shared" si="8"/>
        <v>47494.887852133979</v>
      </c>
      <c r="BM17" s="205">
        <f t="shared" si="8"/>
        <v>47494.887852133979</v>
      </c>
      <c r="BN17" s="205">
        <f t="shared" si="8"/>
        <v>47494.887852133979</v>
      </c>
      <c r="BO17" s="205">
        <f t="shared" si="8"/>
        <v>47494.887852133979</v>
      </c>
      <c r="BP17" s="205">
        <f t="shared" si="8"/>
        <v>47494.887852133979</v>
      </c>
      <c r="BQ17" s="205">
        <f t="shared" si="8"/>
        <v>47494.887852133979</v>
      </c>
      <c r="BR17" s="205">
        <f t="shared" si="8"/>
        <v>47494.887852133979</v>
      </c>
      <c r="BS17" s="205">
        <f t="shared" si="8"/>
        <v>47494.887852133979</v>
      </c>
      <c r="BT17" s="205">
        <f t="shared" si="8"/>
        <v>47494.887852133979</v>
      </c>
      <c r="BU17" s="205">
        <f t="shared" si="8"/>
        <v>47494.887852133979</v>
      </c>
      <c r="BV17" s="205">
        <f t="shared" si="8"/>
        <v>47494.887852133979</v>
      </c>
      <c r="BW17" s="205">
        <f t="shared" si="8"/>
        <v>47494.887852133979</v>
      </c>
      <c r="BX17" s="205">
        <f t="shared" si="8"/>
        <v>47494.887852133979</v>
      </c>
      <c r="BY17" s="205">
        <f t="shared" si="8"/>
        <v>47494.887852133972</v>
      </c>
      <c r="BZ17" s="205">
        <f t="shared" si="8"/>
        <v>47494.887852133972</v>
      </c>
      <c r="CA17" s="205">
        <f t="shared" si="10"/>
        <v>47494.887852133972</v>
      </c>
      <c r="CB17" s="205">
        <f t="shared" si="10"/>
        <v>47494.887852133972</v>
      </c>
      <c r="CC17" s="205">
        <f t="shared" si="9"/>
        <v>47494.887852133972</v>
      </c>
      <c r="CD17" s="205">
        <f t="shared" si="9"/>
        <v>47494.887852133972</v>
      </c>
      <c r="CE17" s="205">
        <f t="shared" si="9"/>
        <v>47494.887852133972</v>
      </c>
      <c r="CF17" s="205">
        <f t="shared" si="9"/>
        <v>47494.887852133972</v>
      </c>
      <c r="CG17" s="205">
        <f t="shared" si="9"/>
        <v>47494.887852133972</v>
      </c>
      <c r="CH17" s="205">
        <f t="shared" si="9"/>
        <v>47494.887852133972</v>
      </c>
      <c r="CI17" s="205">
        <f t="shared" si="9"/>
        <v>47494.887852133972</v>
      </c>
      <c r="CJ17" s="205">
        <f t="shared" si="9"/>
        <v>47494.887852133972</v>
      </c>
      <c r="CK17" s="205">
        <f t="shared" si="9"/>
        <v>47494.887852133972</v>
      </c>
      <c r="CL17" s="205">
        <f t="shared" si="9"/>
        <v>47494.887852133972</v>
      </c>
      <c r="CM17" s="205">
        <f t="shared" si="9"/>
        <v>47494.887852133972</v>
      </c>
      <c r="CN17" s="205">
        <f t="shared" si="9"/>
        <v>47494.887852133972</v>
      </c>
      <c r="CO17" s="205">
        <f t="shared" si="9"/>
        <v>47494.887852133972</v>
      </c>
      <c r="CP17" s="205">
        <f t="shared" si="9"/>
        <v>47494.887852133972</v>
      </c>
      <c r="CQ17" s="205">
        <f t="shared" si="9"/>
        <v>47494.887852133972</v>
      </c>
      <c r="CR17" s="205">
        <f t="shared" si="9"/>
        <v>47494.887852133972</v>
      </c>
      <c r="CS17" s="205">
        <f t="shared" si="11"/>
        <v>47494.887852133972</v>
      </c>
      <c r="CT17" s="205">
        <f t="shared" si="11"/>
        <v>47494.887852133972</v>
      </c>
      <c r="CU17" s="205">
        <f t="shared" si="11"/>
        <v>47494.887852133972</v>
      </c>
      <c r="CV17" s="205">
        <f t="shared" si="11"/>
        <v>47494.887852133972</v>
      </c>
      <c r="CW17" s="205">
        <f t="shared" si="11"/>
        <v>47494.887852133972</v>
      </c>
      <c r="CX17" s="205">
        <f t="shared" si="11"/>
        <v>47494.887852133972</v>
      </c>
      <c r="CY17" s="205">
        <f t="shared" si="11"/>
        <v>47494.887852133972</v>
      </c>
      <c r="CZ17" s="205">
        <f t="shared" si="11"/>
        <v>47494.887852133972</v>
      </c>
      <c r="DA17" s="205">
        <f t="shared" si="11"/>
        <v>47494.887852133972</v>
      </c>
    </row>
    <row r="18" spans="1:105">
      <c r="A18" s="202" t="s">
        <v>85</v>
      </c>
      <c r="B18" s="204">
        <f>Income!B90</f>
        <v>63918.914518800651</v>
      </c>
      <c r="C18" s="204">
        <f>Income!C90</f>
        <v>63918.914518800651</v>
      </c>
      <c r="D18" s="204">
        <f>Income!D90</f>
        <v>63918.914518800637</v>
      </c>
      <c r="E18" s="204">
        <f>Income!E90</f>
        <v>63918.914518800644</v>
      </c>
      <c r="F18" s="205">
        <f t="shared" ref="F18:U18" si="12">IF(F$2&lt;=($B$2+$C$2+$D$2),IF(F$2&lt;=($B$2+$C$2),IF(F$2&lt;=$B$2,$B18,$C18),$D18),$E18)</f>
        <v>63918.914518800651</v>
      </c>
      <c r="G18" s="205">
        <f t="shared" si="12"/>
        <v>63918.914518800651</v>
      </c>
      <c r="H18" s="205">
        <f t="shared" si="12"/>
        <v>63918.914518800651</v>
      </c>
      <c r="I18" s="205">
        <f t="shared" si="12"/>
        <v>63918.914518800651</v>
      </c>
      <c r="J18" s="205">
        <f t="shared" si="12"/>
        <v>63918.914518800651</v>
      </c>
      <c r="K18" s="205">
        <f t="shared" si="12"/>
        <v>63918.914518800651</v>
      </c>
      <c r="L18" s="205">
        <f t="shared" si="12"/>
        <v>63918.914518800651</v>
      </c>
      <c r="M18" s="205">
        <f t="shared" si="12"/>
        <v>63918.914518800651</v>
      </c>
      <c r="N18" s="205">
        <f t="shared" si="12"/>
        <v>63918.914518800651</v>
      </c>
      <c r="O18" s="205">
        <f t="shared" si="12"/>
        <v>63918.914518800651</v>
      </c>
      <c r="P18" s="205">
        <f t="shared" si="12"/>
        <v>63918.914518800651</v>
      </c>
      <c r="Q18" s="205">
        <f t="shared" si="12"/>
        <v>63918.914518800651</v>
      </c>
      <c r="R18" s="205">
        <f t="shared" si="12"/>
        <v>63918.914518800651</v>
      </c>
      <c r="S18" s="205">
        <f t="shared" si="12"/>
        <v>63918.914518800651</v>
      </c>
      <c r="T18" s="205">
        <f t="shared" si="12"/>
        <v>63918.914518800651</v>
      </c>
      <c r="U18" s="205">
        <f t="shared" si="12"/>
        <v>63918.914518800651</v>
      </c>
      <c r="V18" s="205">
        <f t="shared" si="6"/>
        <v>63918.914518800651</v>
      </c>
      <c r="W18" s="205">
        <f t="shared" si="6"/>
        <v>63918.914518800651</v>
      </c>
      <c r="X18" s="205">
        <f t="shared" si="6"/>
        <v>63918.914518800651</v>
      </c>
      <c r="Y18" s="205">
        <f t="shared" si="6"/>
        <v>63918.914518800651</v>
      </c>
      <c r="Z18" s="205">
        <f t="shared" si="6"/>
        <v>63918.914518800651</v>
      </c>
      <c r="AA18" s="205">
        <f t="shared" si="6"/>
        <v>63918.914518800651</v>
      </c>
      <c r="AB18" s="205">
        <f t="shared" si="6"/>
        <v>63918.914518800651</v>
      </c>
      <c r="AC18" s="205">
        <f t="shared" si="6"/>
        <v>63918.914518800651</v>
      </c>
      <c r="AD18" s="205">
        <f t="shared" si="6"/>
        <v>63918.914518800651</v>
      </c>
      <c r="AE18" s="205">
        <f t="shared" si="6"/>
        <v>63918.914518800651</v>
      </c>
      <c r="AF18" s="205">
        <f t="shared" si="6"/>
        <v>63918.914518800651</v>
      </c>
      <c r="AG18" s="205">
        <f t="shared" si="6"/>
        <v>63918.914518800651</v>
      </c>
      <c r="AH18" s="205">
        <f t="shared" si="6"/>
        <v>63918.914518800651</v>
      </c>
      <c r="AI18" s="205">
        <f t="shared" si="6"/>
        <v>63918.914518800651</v>
      </c>
      <c r="AJ18" s="205">
        <f t="shared" si="6"/>
        <v>63918.914518800651</v>
      </c>
      <c r="AK18" s="205">
        <f t="shared" si="6"/>
        <v>63918.914518800651</v>
      </c>
      <c r="AL18" s="205">
        <f t="shared" si="7"/>
        <v>63918.914518800651</v>
      </c>
      <c r="AM18" s="205">
        <f t="shared" si="7"/>
        <v>63918.914518800651</v>
      </c>
      <c r="AN18" s="205">
        <f t="shared" si="7"/>
        <v>63918.914518800651</v>
      </c>
      <c r="AO18" s="205">
        <f t="shared" si="7"/>
        <v>63918.914518800651</v>
      </c>
      <c r="AP18" s="205">
        <f t="shared" si="7"/>
        <v>63918.914518800651</v>
      </c>
      <c r="AQ18" s="205">
        <f t="shared" si="7"/>
        <v>63918.914518800651</v>
      </c>
      <c r="AR18" s="205">
        <f t="shared" si="7"/>
        <v>63918.914518800651</v>
      </c>
      <c r="AS18" s="205">
        <f t="shared" si="7"/>
        <v>63918.914518800651</v>
      </c>
      <c r="AT18" s="205">
        <f t="shared" si="7"/>
        <v>63918.914518800651</v>
      </c>
      <c r="AU18" s="205">
        <f t="shared" si="7"/>
        <v>63918.914518800651</v>
      </c>
      <c r="AV18" s="205">
        <f t="shared" si="7"/>
        <v>63918.914518800651</v>
      </c>
      <c r="AW18" s="205">
        <f t="shared" si="7"/>
        <v>63918.914518800651</v>
      </c>
      <c r="AX18" s="205">
        <f t="shared" si="8"/>
        <v>63918.914518800651</v>
      </c>
      <c r="AY18" s="205">
        <f t="shared" si="8"/>
        <v>63918.914518800651</v>
      </c>
      <c r="AZ18" s="205">
        <f t="shared" si="8"/>
        <v>63918.914518800651</v>
      </c>
      <c r="BA18" s="205">
        <f t="shared" si="8"/>
        <v>63918.914518800651</v>
      </c>
      <c r="BB18" s="205">
        <f t="shared" si="8"/>
        <v>63918.914518800651</v>
      </c>
      <c r="BC18" s="205">
        <f t="shared" si="8"/>
        <v>63918.914518800651</v>
      </c>
      <c r="BD18" s="205">
        <f t="shared" si="8"/>
        <v>63918.914518800651</v>
      </c>
      <c r="BE18" s="205">
        <f t="shared" si="8"/>
        <v>63918.914518800651</v>
      </c>
      <c r="BF18" s="205">
        <f t="shared" si="8"/>
        <v>63918.914518800651</v>
      </c>
      <c r="BG18" s="205">
        <f t="shared" si="8"/>
        <v>63918.914518800651</v>
      </c>
      <c r="BH18" s="205">
        <f t="shared" si="8"/>
        <v>63918.914518800651</v>
      </c>
      <c r="BI18" s="205">
        <f t="shared" si="8"/>
        <v>63918.914518800651</v>
      </c>
      <c r="BJ18" s="205">
        <f t="shared" si="8"/>
        <v>63918.914518800651</v>
      </c>
      <c r="BK18" s="205">
        <f t="shared" si="8"/>
        <v>63918.914518800651</v>
      </c>
      <c r="BL18" s="205">
        <f t="shared" ref="BL18:BZ18" si="13">IF(BL$2&lt;=($B$2+$C$2+$D$2),IF(BL$2&lt;=($B$2+$C$2),IF(BL$2&lt;=$B$2,$B18,$C18),$D18),$E18)</f>
        <v>63918.914518800651</v>
      </c>
      <c r="BM18" s="205">
        <f t="shared" si="13"/>
        <v>63918.914518800651</v>
      </c>
      <c r="BN18" s="205">
        <f t="shared" si="13"/>
        <v>63918.914518800651</v>
      </c>
      <c r="BO18" s="205">
        <f t="shared" si="13"/>
        <v>63918.914518800651</v>
      </c>
      <c r="BP18" s="205">
        <f t="shared" si="13"/>
        <v>63918.914518800651</v>
      </c>
      <c r="BQ18" s="205">
        <f t="shared" si="13"/>
        <v>63918.914518800651</v>
      </c>
      <c r="BR18" s="205">
        <f t="shared" si="13"/>
        <v>63918.914518800651</v>
      </c>
      <c r="BS18" s="205">
        <f t="shared" si="13"/>
        <v>63918.914518800651</v>
      </c>
      <c r="BT18" s="205">
        <f t="shared" si="13"/>
        <v>63918.914518800651</v>
      </c>
      <c r="BU18" s="205">
        <f t="shared" si="13"/>
        <v>63918.914518800651</v>
      </c>
      <c r="BV18" s="205">
        <f t="shared" si="13"/>
        <v>63918.914518800651</v>
      </c>
      <c r="BW18" s="205">
        <f t="shared" si="13"/>
        <v>63918.914518800651</v>
      </c>
      <c r="BX18" s="205">
        <f t="shared" si="13"/>
        <v>63918.914518800651</v>
      </c>
      <c r="BY18" s="205">
        <f t="shared" si="13"/>
        <v>63918.914518800637</v>
      </c>
      <c r="BZ18" s="205">
        <f t="shared" si="13"/>
        <v>63918.914518800637</v>
      </c>
      <c r="CA18" s="205">
        <f t="shared" si="10"/>
        <v>63918.914518800637</v>
      </c>
      <c r="CB18" s="205">
        <f t="shared" si="10"/>
        <v>63918.914518800637</v>
      </c>
      <c r="CC18" s="205">
        <f t="shared" si="9"/>
        <v>63918.914518800637</v>
      </c>
      <c r="CD18" s="205">
        <f t="shared" si="9"/>
        <v>63918.914518800637</v>
      </c>
      <c r="CE18" s="205">
        <f t="shared" si="9"/>
        <v>63918.914518800637</v>
      </c>
      <c r="CF18" s="205">
        <f t="shared" si="9"/>
        <v>63918.914518800637</v>
      </c>
      <c r="CG18" s="205">
        <f t="shared" si="9"/>
        <v>63918.914518800637</v>
      </c>
      <c r="CH18" s="205">
        <f t="shared" si="9"/>
        <v>63918.914518800637</v>
      </c>
      <c r="CI18" s="205">
        <f t="shared" si="9"/>
        <v>63918.914518800637</v>
      </c>
      <c r="CJ18" s="205">
        <f t="shared" si="9"/>
        <v>63918.914518800637</v>
      </c>
      <c r="CK18" s="205">
        <f t="shared" si="9"/>
        <v>63918.914518800637</v>
      </c>
      <c r="CL18" s="205">
        <f t="shared" si="9"/>
        <v>63918.914518800637</v>
      </c>
      <c r="CM18" s="205">
        <f t="shared" si="9"/>
        <v>63918.914518800637</v>
      </c>
      <c r="CN18" s="205">
        <f t="shared" si="9"/>
        <v>63918.914518800637</v>
      </c>
      <c r="CO18" s="205">
        <f t="shared" si="9"/>
        <v>63918.914518800637</v>
      </c>
      <c r="CP18" s="205">
        <f t="shared" si="9"/>
        <v>63918.914518800637</v>
      </c>
      <c r="CQ18" s="205">
        <f t="shared" si="9"/>
        <v>63918.914518800644</v>
      </c>
      <c r="CR18" s="205">
        <f t="shared" si="9"/>
        <v>63918.914518800644</v>
      </c>
      <c r="CS18" s="205">
        <f t="shared" si="11"/>
        <v>63918.914518800644</v>
      </c>
      <c r="CT18" s="205">
        <f t="shared" si="11"/>
        <v>63918.914518800644</v>
      </c>
      <c r="CU18" s="205">
        <f t="shared" si="11"/>
        <v>63918.914518800644</v>
      </c>
      <c r="CV18" s="205">
        <f t="shared" si="11"/>
        <v>63918.914518800644</v>
      </c>
      <c r="CW18" s="205">
        <f t="shared" si="11"/>
        <v>63918.914518800644</v>
      </c>
      <c r="CX18" s="205">
        <f t="shared" si="11"/>
        <v>63918.914518800644</v>
      </c>
      <c r="CY18" s="205">
        <f t="shared" si="11"/>
        <v>63918.914518800644</v>
      </c>
      <c r="CZ18" s="205">
        <f t="shared" si="11"/>
        <v>63918.914518800644</v>
      </c>
      <c r="DA18" s="205">
        <f t="shared" si="11"/>
        <v>63918.914518800644</v>
      </c>
    </row>
    <row r="19" spans="1:105">
      <c r="A19" s="202" t="s">
        <v>116</v>
      </c>
      <c r="F19" s="202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2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2" t="str">
        <f t="shared" si="14"/>
        <v/>
      </c>
      <c r="I19" s="202" t="str">
        <f t="shared" si="14"/>
        <v/>
      </c>
      <c r="J19" s="202" t="str">
        <f t="shared" si="14"/>
        <v/>
      </c>
      <c r="K19" s="202" t="str">
        <f t="shared" si="14"/>
        <v/>
      </c>
      <c r="L19" s="202" t="str">
        <f t="shared" si="14"/>
        <v/>
      </c>
      <c r="M19" s="202" t="str">
        <f t="shared" si="14"/>
        <v/>
      </c>
      <c r="N19" s="202" t="str">
        <f t="shared" si="14"/>
        <v/>
      </c>
      <c r="O19" s="202" t="str">
        <f t="shared" si="14"/>
        <v/>
      </c>
      <c r="P19" s="202" t="str">
        <f t="shared" si="14"/>
        <v/>
      </c>
      <c r="Q19" s="202" t="str">
        <f t="shared" si="14"/>
        <v/>
      </c>
      <c r="R19" s="202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2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2" t="str">
        <f t="shared" si="14"/>
        <v/>
      </c>
      <c r="U19" s="202">
        <f t="shared" si="14"/>
        <v>56414.577809436261</v>
      </c>
      <c r="V19" s="202">
        <f t="shared" si="14"/>
        <v>56960.405668272237</v>
      </c>
      <c r="W19" s="202">
        <f t="shared" si="14"/>
        <v>57506.233527108205</v>
      </c>
      <c r="X19" s="202">
        <f t="shared" si="14"/>
        <v>58052.06138594418</v>
      </c>
      <c r="Y19" s="202">
        <f t="shared" si="14"/>
        <v>58597.889244780155</v>
      </c>
      <c r="Z19" s="202">
        <f t="shared" si="14"/>
        <v>59143.717103616131</v>
      </c>
      <c r="AA19" s="202">
        <f t="shared" si="14"/>
        <v>59689.544962452106</v>
      </c>
      <c r="AB19" s="202">
        <f t="shared" si="14"/>
        <v>60235.372821288081</v>
      </c>
      <c r="AC19" s="202">
        <f t="shared" si="14"/>
        <v>60781.200680124057</v>
      </c>
      <c r="AD19" s="202">
        <f t="shared" si="14"/>
        <v>61327.028538960032</v>
      </c>
      <c r="AE19" s="202">
        <f t="shared" si="14"/>
        <v>61872.856397796008</v>
      </c>
      <c r="AF19" s="202">
        <f t="shared" si="14"/>
        <v>62418.684256631983</v>
      </c>
      <c r="AG19" s="202">
        <f t="shared" si="14"/>
        <v>62964.512115467958</v>
      </c>
      <c r="AH19" s="202">
        <f t="shared" si="14"/>
        <v>63510.339974303934</v>
      </c>
      <c r="AI19" s="202">
        <f t="shared" si="14"/>
        <v>64056.167833139902</v>
      </c>
      <c r="AJ19" s="202">
        <f t="shared" si="14"/>
        <v>64601.995691975884</v>
      </c>
      <c r="AK19" s="202">
        <f t="shared" si="14"/>
        <v>65147.823550811852</v>
      </c>
      <c r="AL19" s="202">
        <f t="shared" si="14"/>
        <v>65693.651409647835</v>
      </c>
      <c r="AM19" s="202">
        <f t="shared" si="14"/>
        <v>66239.479268483803</v>
      </c>
      <c r="AN19" s="202">
        <f t="shared" si="14"/>
        <v>66785.307127319771</v>
      </c>
      <c r="AO19" s="202">
        <f t="shared" si="14"/>
        <v>67331.134986155754</v>
      </c>
      <c r="AP19" s="202">
        <f t="shared" si="14"/>
        <v>67876.962844991722</v>
      </c>
      <c r="AQ19" s="202">
        <f t="shared" si="14"/>
        <v>68422.790703827704</v>
      </c>
      <c r="AR19" s="202">
        <f t="shared" si="14"/>
        <v>68968.618562663672</v>
      </c>
      <c r="AS19" s="202">
        <f t="shared" si="14"/>
        <v>69514.446421499655</v>
      </c>
      <c r="AT19" s="202">
        <f t="shared" si="14"/>
        <v>70060.274280335623</v>
      </c>
      <c r="AU19" s="202">
        <f t="shared" si="14"/>
        <v>70606.102139171606</v>
      </c>
      <c r="AV19" s="202">
        <f t="shared" si="14"/>
        <v>71151.929998007574</v>
      </c>
      <c r="AW19" s="202">
        <f t="shared" si="14"/>
        <v>71697.757856843557</v>
      </c>
      <c r="AX19" s="202">
        <f t="shared" si="14"/>
        <v>72243.585715679525</v>
      </c>
      <c r="AY19" s="202">
        <f t="shared" si="14"/>
        <v>72789.413574515493</v>
      </c>
      <c r="AZ19" s="202">
        <f t="shared" si="14"/>
        <v>73335.241433351475</v>
      </c>
      <c r="BA19" s="202">
        <f t="shared" si="14"/>
        <v>73881.069292187458</v>
      </c>
      <c r="BB19" s="202">
        <f t="shared" si="14"/>
        <v>74426.897151023426</v>
      </c>
      <c r="BC19" s="202">
        <f t="shared" si="14"/>
        <v>74972.725009859394</v>
      </c>
      <c r="BD19" s="202">
        <f t="shared" si="14"/>
        <v>75518.552868695377</v>
      </c>
      <c r="BE19" s="202">
        <f t="shared" si="14"/>
        <v>80832.261278164078</v>
      </c>
      <c r="BF19" s="202">
        <f t="shared" si="14"/>
        <v>86145.96968763278</v>
      </c>
      <c r="BG19" s="202">
        <f t="shared" si="14"/>
        <v>91459.678097101481</v>
      </c>
      <c r="BH19" s="202">
        <f t="shared" si="14"/>
        <v>96773.386506570183</v>
      </c>
      <c r="BI19" s="202">
        <f t="shared" si="14"/>
        <v>102087.09491603888</v>
      </c>
      <c r="BJ19" s="202">
        <f t="shared" si="14"/>
        <v>107400.80332550759</v>
      </c>
      <c r="BK19" s="202">
        <f t="shared" si="14"/>
        <v>112714.51173497629</v>
      </c>
      <c r="BL19" s="202">
        <f t="shared" si="14"/>
        <v>118028.22014444499</v>
      </c>
      <c r="BM19" s="202">
        <f t="shared" si="14"/>
        <v>123341.92855391369</v>
      </c>
      <c r="BN19" s="202">
        <f t="shared" si="14"/>
        <v>128655.63696338239</v>
      </c>
      <c r="BO19" s="202">
        <f t="shared" si="14"/>
        <v>133969.34537285109</v>
      </c>
      <c r="BP19" s="202">
        <f t="shared" si="14"/>
        <v>139283.05378231977</v>
      </c>
      <c r="BQ19" s="202">
        <f t="shared" si="14"/>
        <v>144596.76219178847</v>
      </c>
      <c r="BR19" s="202">
        <f t="shared" si="14"/>
        <v>149910.47060125717</v>
      </c>
      <c r="BS19" s="202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155224.17901072587</v>
      </c>
      <c r="BT19" s="202">
        <f t="shared" si="15"/>
        <v>160537.88742019457</v>
      </c>
      <c r="BU19" s="202">
        <f t="shared" si="15"/>
        <v>165851.59582966327</v>
      </c>
      <c r="BV19" s="202">
        <f t="shared" si="15"/>
        <v>171165.30423913198</v>
      </c>
      <c r="BW19" s="202">
        <f t="shared" si="15"/>
        <v>176479.01264860068</v>
      </c>
      <c r="BX19" s="202">
        <f t="shared" si="15"/>
        <v>181792.72105806938</v>
      </c>
      <c r="BY19" s="202">
        <f t="shared" si="15"/>
        <v>187106.42946753808</v>
      </c>
      <c r="BZ19" s="202">
        <f t="shared" si="15"/>
        <v>192420.13787700678</v>
      </c>
      <c r="CA19" s="202">
        <f t="shared" si="15"/>
        <v>197733.84628647548</v>
      </c>
      <c r="CB19" s="202">
        <f t="shared" si="15"/>
        <v>203047.55469594419</v>
      </c>
      <c r="CC19" s="202">
        <f t="shared" si="15"/>
        <v>208361.26310541289</v>
      </c>
      <c r="CD19" s="202">
        <f t="shared" si="15"/>
        <v>213674.97151488159</v>
      </c>
      <c r="CE19" s="202">
        <f t="shared" si="15"/>
        <v>218988.67992435029</v>
      </c>
      <c r="CF19" s="202">
        <f t="shared" si="15"/>
        <v>224302.38833381899</v>
      </c>
      <c r="CG19" s="202">
        <f t="shared" si="15"/>
        <v>229616.09674328769</v>
      </c>
      <c r="CH19" s="202">
        <f t="shared" si="15"/>
        <v>234929.80515275639</v>
      </c>
      <c r="CI19" s="202">
        <f t="shared" si="15"/>
        <v>255642.76549355817</v>
      </c>
      <c r="CJ19" s="202">
        <f t="shared" si="15"/>
        <v>276355.72583435994</v>
      </c>
      <c r="CK19" s="202">
        <f t="shared" si="15"/>
        <v>297068.68617516174</v>
      </c>
      <c r="CL19" s="202">
        <f t="shared" si="15"/>
        <v>317781.64651596348</v>
      </c>
      <c r="CM19" s="202">
        <f t="shared" si="15"/>
        <v>338494.60685676523</v>
      </c>
      <c r="CN19" s="202">
        <f t="shared" si="15"/>
        <v>359207.56719756703</v>
      </c>
      <c r="CO19" s="202">
        <f t="shared" si="15"/>
        <v>379920.52753836883</v>
      </c>
      <c r="CP19" s="202">
        <f t="shared" si="15"/>
        <v>400633.48787917057</v>
      </c>
      <c r="CQ19" s="202">
        <f t="shared" si="15"/>
        <v>421346.44821997231</v>
      </c>
      <c r="CR19" s="202">
        <f t="shared" si="15"/>
        <v>442059.40856077411</v>
      </c>
      <c r="CS19" s="202">
        <f t="shared" si="15"/>
        <v>462772.36890157592</v>
      </c>
      <c r="CT19" s="202">
        <f t="shared" si="15"/>
        <v>483485.32924237766</v>
      </c>
      <c r="CU19" s="202">
        <f t="shared" si="15"/>
        <v>504198.2895831794</v>
      </c>
      <c r="CV19" s="202">
        <f t="shared" si="15"/>
        <v>524911.24992398126</v>
      </c>
      <c r="CW19" s="202" t="str">
        <f t="shared" si="15"/>
        <v/>
      </c>
      <c r="CX19" s="202" t="str">
        <f t="shared" si="15"/>
        <v/>
      </c>
      <c r="CY19" s="202" t="str">
        <f t="shared" si="15"/>
        <v/>
      </c>
      <c r="CZ19" s="202" t="str">
        <f t="shared" si="15"/>
        <v/>
      </c>
      <c r="DA19" s="202" t="str">
        <f t="shared" si="15"/>
        <v/>
      </c>
    </row>
    <row r="21" spans="1:105">
      <c r="B21" s="202" t="s">
        <v>97</v>
      </c>
      <c r="C21" s="202" t="s">
        <v>96</v>
      </c>
      <c r="D21" s="202" t="s">
        <v>98</v>
      </c>
      <c r="E21" s="202" t="s">
        <v>99</v>
      </c>
    </row>
    <row r="22" spans="1:105">
      <c r="B22" s="206">
        <f>B2*100</f>
        <v>28.999999999999996</v>
      </c>
      <c r="C22" s="206">
        <f>C2*100</f>
        <v>42</v>
      </c>
      <c r="D22" s="206">
        <f>D2*100</f>
        <v>18</v>
      </c>
      <c r="E22" s="206">
        <f>E2*100</f>
        <v>11</v>
      </c>
      <c r="F22" s="206">
        <v>0</v>
      </c>
      <c r="G22" s="206">
        <v>1</v>
      </c>
      <c r="H22" s="206">
        <v>2</v>
      </c>
      <c r="I22" s="206">
        <v>3</v>
      </c>
      <c r="J22" s="206">
        <v>4</v>
      </c>
      <c r="K22" s="206">
        <v>5</v>
      </c>
      <c r="L22" s="206">
        <v>6</v>
      </c>
      <c r="M22" s="206">
        <v>7</v>
      </c>
      <c r="N22" s="206">
        <v>8</v>
      </c>
      <c r="O22" s="206">
        <v>9</v>
      </c>
      <c r="P22" s="206">
        <v>10</v>
      </c>
      <c r="Q22" s="206">
        <v>11</v>
      </c>
      <c r="R22" s="206">
        <v>12</v>
      </c>
      <c r="S22" s="206">
        <v>13</v>
      </c>
      <c r="T22" s="206">
        <v>14</v>
      </c>
      <c r="U22" s="206">
        <v>15</v>
      </c>
      <c r="V22" s="206">
        <v>16</v>
      </c>
      <c r="W22" s="206">
        <v>17</v>
      </c>
      <c r="X22" s="206">
        <v>18</v>
      </c>
      <c r="Y22" s="206">
        <v>19</v>
      </c>
      <c r="Z22" s="206">
        <v>20</v>
      </c>
      <c r="AA22" s="206">
        <v>21</v>
      </c>
      <c r="AB22" s="206">
        <v>22</v>
      </c>
      <c r="AC22" s="206">
        <v>23</v>
      </c>
      <c r="AD22" s="206">
        <v>24</v>
      </c>
      <c r="AE22" s="206">
        <v>25</v>
      </c>
      <c r="AF22" s="206">
        <v>26</v>
      </c>
      <c r="AG22" s="206">
        <v>27</v>
      </c>
      <c r="AH22" s="206">
        <v>28</v>
      </c>
      <c r="AI22" s="206">
        <v>29</v>
      </c>
      <c r="AJ22" s="206">
        <v>30</v>
      </c>
      <c r="AK22" s="206">
        <v>31</v>
      </c>
      <c r="AL22" s="206">
        <v>32</v>
      </c>
      <c r="AM22" s="206">
        <v>33</v>
      </c>
      <c r="AN22" s="206">
        <v>34</v>
      </c>
      <c r="AO22" s="206">
        <v>35</v>
      </c>
      <c r="AP22" s="206">
        <v>36</v>
      </c>
      <c r="AQ22" s="206">
        <v>37</v>
      </c>
      <c r="AR22" s="206">
        <v>38</v>
      </c>
      <c r="AS22" s="206">
        <v>39</v>
      </c>
      <c r="AT22" s="206">
        <v>40</v>
      </c>
      <c r="AU22" s="206">
        <v>41</v>
      </c>
      <c r="AV22" s="206">
        <v>42</v>
      </c>
      <c r="AW22" s="206">
        <v>43</v>
      </c>
      <c r="AX22" s="206">
        <v>44</v>
      </c>
      <c r="AY22" s="206">
        <v>45</v>
      </c>
      <c r="AZ22" s="206">
        <v>46</v>
      </c>
      <c r="BA22" s="206">
        <v>47</v>
      </c>
      <c r="BB22" s="206">
        <v>48</v>
      </c>
      <c r="BC22" s="206">
        <v>49</v>
      </c>
      <c r="BD22" s="206">
        <v>50</v>
      </c>
      <c r="BE22" s="206">
        <v>51</v>
      </c>
      <c r="BF22" s="206">
        <v>52</v>
      </c>
      <c r="BG22" s="206">
        <v>53</v>
      </c>
      <c r="BH22" s="206">
        <v>54</v>
      </c>
      <c r="BI22" s="206">
        <v>55</v>
      </c>
      <c r="BJ22" s="206">
        <v>56</v>
      </c>
      <c r="BK22" s="206">
        <v>57</v>
      </c>
      <c r="BL22" s="206">
        <v>58</v>
      </c>
      <c r="BM22" s="206">
        <v>59</v>
      </c>
      <c r="BN22" s="206">
        <v>60</v>
      </c>
      <c r="BO22" s="206">
        <v>61</v>
      </c>
      <c r="BP22" s="206">
        <v>62</v>
      </c>
      <c r="BQ22" s="206">
        <v>63</v>
      </c>
      <c r="BR22" s="206">
        <v>64</v>
      </c>
      <c r="BS22" s="206">
        <v>65</v>
      </c>
      <c r="BT22" s="206">
        <v>66</v>
      </c>
      <c r="BU22" s="206">
        <v>67</v>
      </c>
      <c r="BV22" s="206">
        <v>68</v>
      </c>
      <c r="BW22" s="206">
        <v>69</v>
      </c>
      <c r="BX22" s="206">
        <v>70</v>
      </c>
      <c r="BY22" s="206">
        <v>71</v>
      </c>
      <c r="BZ22" s="206">
        <v>72</v>
      </c>
      <c r="CA22" s="206">
        <v>73</v>
      </c>
      <c r="CB22" s="206">
        <v>74</v>
      </c>
      <c r="CC22" s="206">
        <v>75</v>
      </c>
      <c r="CD22" s="206">
        <v>76</v>
      </c>
      <c r="CE22" s="206">
        <v>77</v>
      </c>
      <c r="CF22" s="206">
        <v>78</v>
      </c>
      <c r="CG22" s="206">
        <v>79</v>
      </c>
      <c r="CH22" s="206">
        <v>80</v>
      </c>
      <c r="CI22" s="206">
        <v>81</v>
      </c>
      <c r="CJ22" s="206">
        <v>82</v>
      </c>
      <c r="CK22" s="206">
        <v>83</v>
      </c>
      <c r="CL22" s="206">
        <v>84</v>
      </c>
      <c r="CM22" s="206">
        <v>85</v>
      </c>
      <c r="CN22" s="206">
        <v>86</v>
      </c>
      <c r="CO22" s="206">
        <v>87</v>
      </c>
      <c r="CP22" s="206">
        <v>88</v>
      </c>
      <c r="CQ22" s="206">
        <v>89</v>
      </c>
      <c r="CR22" s="206">
        <v>90</v>
      </c>
      <c r="CS22" s="206">
        <v>91</v>
      </c>
      <c r="CT22" s="206">
        <v>92</v>
      </c>
      <c r="CU22" s="206">
        <v>93</v>
      </c>
      <c r="CV22" s="206">
        <v>94</v>
      </c>
      <c r="CW22" s="206">
        <v>95</v>
      </c>
      <c r="CX22" s="206">
        <v>96</v>
      </c>
      <c r="CY22" s="206">
        <v>97</v>
      </c>
      <c r="CZ22" s="206">
        <v>98</v>
      </c>
      <c r="DA22" s="206">
        <v>99</v>
      </c>
    </row>
    <row r="23" spans="1:105">
      <c r="B23" s="207">
        <f>SUM($B22:B22)</f>
        <v>28.999999999999996</v>
      </c>
      <c r="C23" s="207">
        <f>SUM($B22:C22)</f>
        <v>71</v>
      </c>
      <c r="D23" s="207">
        <f>SUM($B22:D22)</f>
        <v>89</v>
      </c>
      <c r="E23" s="207">
        <f>SUM($B22:E22)</f>
        <v>100</v>
      </c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8"/>
      <c r="BL23" s="208"/>
      <c r="BM23" s="208"/>
      <c r="BN23" s="208"/>
      <c r="BO23" s="208"/>
      <c r="BP23" s="208"/>
      <c r="BQ23" s="208"/>
      <c r="BR23" s="208"/>
      <c r="BS23" s="208"/>
      <c r="BT23" s="208"/>
      <c r="BU23" s="208"/>
      <c r="BV23" s="208"/>
      <c r="BW23" s="208"/>
      <c r="BX23" s="208"/>
      <c r="BY23" s="208"/>
      <c r="BZ23" s="208"/>
      <c r="CA23" s="208"/>
      <c r="CB23" s="208"/>
      <c r="CC23" s="208"/>
      <c r="CD23" s="208"/>
      <c r="CE23" s="208"/>
      <c r="CF23" s="208"/>
      <c r="CG23" s="208"/>
      <c r="CH23" s="208"/>
      <c r="CI23" s="208"/>
      <c r="CJ23" s="208"/>
      <c r="CK23" s="208"/>
      <c r="CL23" s="208"/>
      <c r="CM23" s="208"/>
      <c r="CN23" s="208"/>
      <c r="CO23" s="208"/>
      <c r="CP23" s="208"/>
      <c r="CQ23" s="208"/>
      <c r="CR23" s="208"/>
      <c r="CS23" s="208"/>
      <c r="CT23" s="208"/>
      <c r="CU23" s="208"/>
      <c r="CV23" s="208"/>
      <c r="CW23" s="208"/>
      <c r="CX23" s="208"/>
      <c r="CY23" s="208"/>
      <c r="CZ23" s="208"/>
      <c r="DA23" s="208"/>
    </row>
    <row r="24" spans="1:105">
      <c r="B24" s="209">
        <f>A23+(B23-A23)/2</f>
        <v>14.499999999999998</v>
      </c>
      <c r="C24" s="209">
        <f>B23+(C23-B23)/2</f>
        <v>50</v>
      </c>
      <c r="D24" s="209">
        <f>C23+(D23-C23)/2</f>
        <v>80</v>
      </c>
      <c r="E24" s="209">
        <f>D23+(E23-D23)/2</f>
        <v>94.5</v>
      </c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</row>
    <row r="25" spans="1:105">
      <c r="A25" s="202" t="str">
        <f>Income!A72</f>
        <v>Own crops Consumed</v>
      </c>
      <c r="B25" s="204">
        <f>Income!B72</f>
        <v>1993.7522850518562</v>
      </c>
      <c r="C25" s="204">
        <f>Income!C72</f>
        <v>3448.1756035470717</v>
      </c>
      <c r="D25" s="204">
        <f>Income!D72</f>
        <v>2491.1301183618971</v>
      </c>
      <c r="E25" s="204">
        <f>Income!E72</f>
        <v>2112.904554101895</v>
      </c>
      <c r="F25" s="211">
        <f>IF(F$22&lt;=$E$24,IF(F$22&lt;=$D$24,IF(F$22&lt;=$C$24,IF(F$22&lt;=$B$24,$B25,$B25+(F$22-$B$24)*($C25-$B25)/($C$24-$B$24)),$C25+(F$22-$C$24)*($D25-$C25)/($D$24-$C$24)),$D25+(F$22-$D$24)*($E25-$D25)/($E$24-$D$24)),$E25)</f>
        <v>1993.7522850518562</v>
      </c>
      <c r="G25" s="211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1993.7522850518562</v>
      </c>
      <c r="H25" s="211">
        <f t="shared" si="16"/>
        <v>1993.7522850518562</v>
      </c>
      <c r="I25" s="211">
        <f t="shared" si="16"/>
        <v>1993.7522850518562</v>
      </c>
      <c r="J25" s="211">
        <f t="shared" si="16"/>
        <v>1993.7522850518562</v>
      </c>
      <c r="K25" s="211">
        <f t="shared" si="16"/>
        <v>1993.7522850518562</v>
      </c>
      <c r="L25" s="211">
        <f t="shared" si="16"/>
        <v>1993.7522850518562</v>
      </c>
      <c r="M25" s="211">
        <f t="shared" si="16"/>
        <v>1993.7522850518562</v>
      </c>
      <c r="N25" s="211">
        <f t="shared" si="16"/>
        <v>1993.7522850518562</v>
      </c>
      <c r="O25" s="211">
        <f t="shared" si="16"/>
        <v>1993.7522850518562</v>
      </c>
      <c r="P25" s="211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1993.7522850518562</v>
      </c>
      <c r="Q25" s="211">
        <f t="shared" si="17"/>
        <v>1993.7522850518562</v>
      </c>
      <c r="R25" s="211">
        <f t="shared" si="17"/>
        <v>1993.7522850518562</v>
      </c>
      <c r="S25" s="211">
        <f>IF(S$22&lt;=$E$24,IF(S$22&lt;=$D$24,IF(S$22&lt;=$C$24,IF(S$22&lt;=$B$24,$B25,$B25+(S$22-$B$24)*($C25-$B25)/($C$24-$B$24)),$C25+(S$22-$C$24)*($D25-$C25)/($D$24-$C$24)),$D25+(S$22-$D$24)*($E25-$D25)/($E$24-$D$24)),$E25)</f>
        <v>1993.7522850518562</v>
      </c>
      <c r="T25" s="211">
        <f t="shared" si="17"/>
        <v>1993.7522850518562</v>
      </c>
      <c r="U25" s="211">
        <f t="shared" si="17"/>
        <v>2014.23712052362</v>
      </c>
      <c r="V25" s="211">
        <f t="shared" si="17"/>
        <v>2055.206791467147</v>
      </c>
      <c r="W25" s="211">
        <f t="shared" si="17"/>
        <v>2096.1764624106745</v>
      </c>
      <c r="X25" s="211">
        <f t="shared" si="17"/>
        <v>2137.1461333542015</v>
      </c>
      <c r="Y25" s="211">
        <f t="shared" si="17"/>
        <v>2178.1158042977286</v>
      </c>
      <c r="Z25" s="211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2219.0854752412561</v>
      </c>
      <c r="AA25" s="211">
        <f t="shared" si="18"/>
        <v>2260.0551461847831</v>
      </c>
      <c r="AB25" s="211">
        <f t="shared" si="18"/>
        <v>2301.0248171283101</v>
      </c>
      <c r="AC25" s="211">
        <f t="shared" si="18"/>
        <v>2341.9944880718376</v>
      </c>
      <c r="AD25" s="211">
        <f t="shared" si="18"/>
        <v>2382.9641590153647</v>
      </c>
      <c r="AE25" s="211">
        <f t="shared" si="18"/>
        <v>2423.9338299588917</v>
      </c>
      <c r="AF25" s="211">
        <f t="shared" si="18"/>
        <v>2464.9035009024192</v>
      </c>
      <c r="AG25" s="211">
        <f t="shared" si="18"/>
        <v>2505.8731718459462</v>
      </c>
      <c r="AH25" s="211">
        <f t="shared" si="18"/>
        <v>2546.8428427894733</v>
      </c>
      <c r="AI25" s="211">
        <f t="shared" si="18"/>
        <v>2587.8125137330007</v>
      </c>
      <c r="AJ25" s="211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2628.7821846765278</v>
      </c>
      <c r="AK25" s="211">
        <f t="shared" si="19"/>
        <v>2669.7518556200548</v>
      </c>
      <c r="AL25" s="211">
        <f t="shared" si="19"/>
        <v>2710.7215265635823</v>
      </c>
      <c r="AM25" s="211">
        <f t="shared" si="19"/>
        <v>2751.6911975071093</v>
      </c>
      <c r="AN25" s="211">
        <f t="shared" si="19"/>
        <v>2792.6608684506364</v>
      </c>
      <c r="AO25" s="211">
        <f t="shared" si="19"/>
        <v>2833.6305393941639</v>
      </c>
      <c r="AP25" s="211">
        <f t="shared" si="19"/>
        <v>2874.6002103376909</v>
      </c>
      <c r="AQ25" s="211">
        <f t="shared" si="19"/>
        <v>2915.5698812812179</v>
      </c>
      <c r="AR25" s="211">
        <f t="shared" si="19"/>
        <v>2956.5395522247454</v>
      </c>
      <c r="AS25" s="211">
        <f t="shared" si="19"/>
        <v>2997.5092231682725</v>
      </c>
      <c r="AT25" s="211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3038.4788941117995</v>
      </c>
      <c r="AU25" s="211">
        <f t="shared" si="20"/>
        <v>3079.448565055327</v>
      </c>
      <c r="AV25" s="211">
        <f t="shared" si="20"/>
        <v>3120.418235998854</v>
      </c>
      <c r="AW25" s="211">
        <f t="shared" si="20"/>
        <v>3161.3879069423811</v>
      </c>
      <c r="AX25" s="211">
        <f t="shared" si="20"/>
        <v>3202.3575778859085</v>
      </c>
      <c r="AY25" s="211">
        <f t="shared" si="20"/>
        <v>3243.3272488294356</v>
      </c>
      <c r="AZ25" s="211">
        <f t="shared" si="20"/>
        <v>3284.2969197729626</v>
      </c>
      <c r="BA25" s="211">
        <f t="shared" si="20"/>
        <v>3325.2665907164901</v>
      </c>
      <c r="BB25" s="211">
        <f t="shared" si="20"/>
        <v>3366.2362616600176</v>
      </c>
      <c r="BC25" s="211">
        <f t="shared" si="20"/>
        <v>3407.2059326035442</v>
      </c>
      <c r="BD25" s="211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3448.1756035470717</v>
      </c>
      <c r="BE25" s="211">
        <f t="shared" si="21"/>
        <v>3416.2740873742323</v>
      </c>
      <c r="BF25" s="211">
        <f t="shared" si="21"/>
        <v>3384.3725712013934</v>
      </c>
      <c r="BG25" s="211">
        <f t="shared" si="21"/>
        <v>3352.471055028554</v>
      </c>
      <c r="BH25" s="211">
        <f t="shared" si="21"/>
        <v>3320.5695388557151</v>
      </c>
      <c r="BI25" s="211">
        <f t="shared" si="21"/>
        <v>3288.6680226828757</v>
      </c>
      <c r="BJ25" s="211">
        <f t="shared" si="21"/>
        <v>3256.7665065100368</v>
      </c>
      <c r="BK25" s="211">
        <f t="shared" si="21"/>
        <v>3224.8649903371975</v>
      </c>
      <c r="BL25" s="211">
        <f t="shared" si="21"/>
        <v>3192.9634741643586</v>
      </c>
      <c r="BM25" s="211">
        <f t="shared" si="21"/>
        <v>3161.0619579915192</v>
      </c>
      <c r="BN25" s="211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3129.1604418186803</v>
      </c>
      <c r="BO25" s="211">
        <f t="shared" si="22"/>
        <v>3097.2589256458409</v>
      </c>
      <c r="BP25" s="211">
        <f t="shared" si="22"/>
        <v>3065.357409473002</v>
      </c>
      <c r="BQ25" s="211">
        <f t="shared" si="22"/>
        <v>3033.4558933001626</v>
      </c>
      <c r="BR25" s="211">
        <f t="shared" si="22"/>
        <v>3001.5543771273233</v>
      </c>
      <c r="BS25" s="211">
        <f t="shared" si="22"/>
        <v>2969.6528609544844</v>
      </c>
      <c r="BT25" s="211">
        <f t="shared" si="22"/>
        <v>2937.7513447816455</v>
      </c>
      <c r="BU25" s="211">
        <f t="shared" si="22"/>
        <v>2905.8498286088061</v>
      </c>
      <c r="BV25" s="211">
        <f t="shared" si="22"/>
        <v>2873.9483124359667</v>
      </c>
      <c r="BW25" s="211">
        <f t="shared" si="22"/>
        <v>2842.0467962631278</v>
      </c>
      <c r="BX25" s="211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2810.1452800902885</v>
      </c>
      <c r="BY25" s="211">
        <f t="shared" si="23"/>
        <v>2778.2437639174495</v>
      </c>
      <c r="BZ25" s="211">
        <f t="shared" si="23"/>
        <v>2746.3422477446102</v>
      </c>
      <c r="CA25" s="211">
        <f t="shared" si="23"/>
        <v>2714.4407315717713</v>
      </c>
      <c r="CB25" s="211">
        <f t="shared" si="23"/>
        <v>2682.5392153989319</v>
      </c>
      <c r="CC25" s="211">
        <f t="shared" si="23"/>
        <v>2650.637699226093</v>
      </c>
      <c r="CD25" s="211">
        <f t="shared" si="23"/>
        <v>2618.7361830532536</v>
      </c>
      <c r="CE25" s="211">
        <f t="shared" si="23"/>
        <v>2586.8346668804147</v>
      </c>
      <c r="CF25" s="211">
        <f t="shared" si="23"/>
        <v>2554.9331507075754</v>
      </c>
      <c r="CG25" s="211">
        <f t="shared" si="23"/>
        <v>2523.0316345347364</v>
      </c>
      <c r="CH25" s="211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2491.1301183618971</v>
      </c>
      <c r="CI25" s="211">
        <f t="shared" si="24"/>
        <v>2465.0455966887935</v>
      </c>
      <c r="CJ25" s="211">
        <f t="shared" si="24"/>
        <v>2438.9610750156899</v>
      </c>
      <c r="CK25" s="211">
        <f t="shared" si="24"/>
        <v>2412.8765533425862</v>
      </c>
      <c r="CL25" s="211">
        <f t="shared" si="24"/>
        <v>2386.7920316694826</v>
      </c>
      <c r="CM25" s="211">
        <f t="shared" si="24"/>
        <v>2360.707509996379</v>
      </c>
      <c r="CN25" s="211">
        <f t="shared" si="24"/>
        <v>2334.6229883232754</v>
      </c>
      <c r="CO25" s="211">
        <f t="shared" si="24"/>
        <v>2308.5384666501718</v>
      </c>
      <c r="CP25" s="211">
        <f t="shared" si="24"/>
        <v>2282.4539449770682</v>
      </c>
      <c r="CQ25" s="211">
        <f t="shared" si="24"/>
        <v>2256.3694233039646</v>
      </c>
      <c r="CR25" s="211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2230.284901630861</v>
      </c>
      <c r="CS25" s="211">
        <f t="shared" si="25"/>
        <v>2204.2003799577574</v>
      </c>
      <c r="CT25" s="211">
        <f t="shared" si="25"/>
        <v>2178.1158582846538</v>
      </c>
      <c r="CU25" s="211">
        <f t="shared" si="25"/>
        <v>2152.0313366115506</v>
      </c>
      <c r="CV25" s="211">
        <f t="shared" si="25"/>
        <v>2125.9468149384466</v>
      </c>
      <c r="CW25" s="211">
        <f t="shared" si="25"/>
        <v>2112.904554101895</v>
      </c>
      <c r="CX25" s="211">
        <f t="shared" si="25"/>
        <v>2112.904554101895</v>
      </c>
      <c r="CY25" s="211">
        <f t="shared" si="25"/>
        <v>2112.904554101895</v>
      </c>
      <c r="CZ25" s="211">
        <f t="shared" si="25"/>
        <v>2112.904554101895</v>
      </c>
      <c r="DA25" s="211">
        <f t="shared" si="25"/>
        <v>2112.904554101895</v>
      </c>
    </row>
    <row r="26" spans="1:105">
      <c r="A26" s="202" t="str">
        <f>Income!A73</f>
        <v>Own crops sold</v>
      </c>
      <c r="B26" s="204">
        <f>Income!B73</f>
        <v>73.388312530900549</v>
      </c>
      <c r="C26" s="204">
        <f>Income!C73</f>
        <v>2906.4829608592067</v>
      </c>
      <c r="D26" s="204">
        <f>Income!D73</f>
        <v>1555.1332893452732</v>
      </c>
      <c r="E26" s="204">
        <f>Income!E73</f>
        <v>52404.147701231705</v>
      </c>
      <c r="F26" s="211">
        <f t="shared" si="16"/>
        <v>73.388312530900549</v>
      </c>
      <c r="G26" s="211">
        <f t="shared" si="16"/>
        <v>73.388312530900549</v>
      </c>
      <c r="H26" s="211">
        <f t="shared" si="16"/>
        <v>73.388312530900549</v>
      </c>
      <c r="I26" s="211">
        <f t="shared" si="16"/>
        <v>73.388312530900549</v>
      </c>
      <c r="J26" s="211">
        <f t="shared" si="16"/>
        <v>73.388312530900549</v>
      </c>
      <c r="K26" s="211">
        <f t="shared" si="16"/>
        <v>73.388312530900549</v>
      </c>
      <c r="L26" s="211">
        <f t="shared" si="16"/>
        <v>73.388312530900549</v>
      </c>
      <c r="M26" s="211">
        <f t="shared" si="16"/>
        <v>73.388312530900549</v>
      </c>
      <c r="N26" s="211">
        <f t="shared" si="16"/>
        <v>73.388312530900549</v>
      </c>
      <c r="O26" s="211">
        <f t="shared" si="16"/>
        <v>73.388312530900549</v>
      </c>
      <c r="P26" s="211">
        <f t="shared" si="17"/>
        <v>73.388312530900549</v>
      </c>
      <c r="Q26" s="211">
        <f t="shared" si="17"/>
        <v>73.388312530900549</v>
      </c>
      <c r="R26" s="211">
        <f t="shared" si="17"/>
        <v>73.388312530900549</v>
      </c>
      <c r="S26" s="211">
        <f t="shared" si="17"/>
        <v>73.388312530900549</v>
      </c>
      <c r="T26" s="211">
        <f t="shared" si="17"/>
        <v>73.388312530900549</v>
      </c>
      <c r="U26" s="211">
        <f t="shared" si="17"/>
        <v>113.29105405665148</v>
      </c>
      <c r="V26" s="211">
        <f t="shared" si="17"/>
        <v>193.09653710815309</v>
      </c>
      <c r="W26" s="211">
        <f t="shared" si="17"/>
        <v>272.90202015965463</v>
      </c>
      <c r="X26" s="211">
        <f t="shared" si="17"/>
        <v>352.70750321115622</v>
      </c>
      <c r="Y26" s="211">
        <f t="shared" si="17"/>
        <v>432.51298626265782</v>
      </c>
      <c r="Z26" s="211">
        <f t="shared" si="18"/>
        <v>512.3184693141593</v>
      </c>
      <c r="AA26" s="211">
        <f t="shared" si="18"/>
        <v>592.1239523656609</v>
      </c>
      <c r="AB26" s="211">
        <f t="shared" si="18"/>
        <v>671.92943541716249</v>
      </c>
      <c r="AC26" s="211">
        <f t="shared" si="18"/>
        <v>751.73491846866409</v>
      </c>
      <c r="AD26" s="211">
        <f t="shared" si="18"/>
        <v>831.54040152016569</v>
      </c>
      <c r="AE26" s="211">
        <f t="shared" si="18"/>
        <v>911.34588457166728</v>
      </c>
      <c r="AF26" s="211">
        <f t="shared" si="18"/>
        <v>991.15136762316877</v>
      </c>
      <c r="AG26" s="211">
        <f t="shared" si="18"/>
        <v>1070.9568506746705</v>
      </c>
      <c r="AH26" s="211">
        <f t="shared" si="18"/>
        <v>1150.7623337261718</v>
      </c>
      <c r="AI26" s="211">
        <f t="shared" si="18"/>
        <v>1230.5678167776734</v>
      </c>
      <c r="AJ26" s="211">
        <f t="shared" si="19"/>
        <v>1310.3732998291753</v>
      </c>
      <c r="AK26" s="211">
        <f t="shared" si="19"/>
        <v>1390.1787828806764</v>
      </c>
      <c r="AL26" s="211">
        <f t="shared" si="19"/>
        <v>1469.984265932178</v>
      </c>
      <c r="AM26" s="211">
        <f t="shared" si="19"/>
        <v>1549.7897489836798</v>
      </c>
      <c r="AN26" s="211">
        <f t="shared" si="19"/>
        <v>1629.5952320351812</v>
      </c>
      <c r="AO26" s="211">
        <f t="shared" si="19"/>
        <v>1709.4007150866828</v>
      </c>
      <c r="AP26" s="211">
        <f t="shared" si="19"/>
        <v>1789.2061981381844</v>
      </c>
      <c r="AQ26" s="211">
        <f t="shared" si="19"/>
        <v>1869.011681189686</v>
      </c>
      <c r="AR26" s="211">
        <f t="shared" si="19"/>
        <v>1948.8171642411874</v>
      </c>
      <c r="AS26" s="211">
        <f t="shared" si="19"/>
        <v>2028.6226472926894</v>
      </c>
      <c r="AT26" s="211">
        <f t="shared" si="20"/>
        <v>2108.4281303441908</v>
      </c>
      <c r="AU26" s="211">
        <f t="shared" si="20"/>
        <v>2188.2336133956928</v>
      </c>
      <c r="AV26" s="211">
        <f t="shared" si="20"/>
        <v>2268.039096447194</v>
      </c>
      <c r="AW26" s="211">
        <f t="shared" si="20"/>
        <v>2347.8445794986956</v>
      </c>
      <c r="AX26" s="211">
        <f t="shared" si="20"/>
        <v>2427.6500625501972</v>
      </c>
      <c r="AY26" s="211">
        <f t="shared" si="20"/>
        <v>2507.4555456016988</v>
      </c>
      <c r="AZ26" s="211">
        <f t="shared" si="20"/>
        <v>2587.2610286532004</v>
      </c>
      <c r="BA26" s="211">
        <f t="shared" si="20"/>
        <v>2667.0665117047024</v>
      </c>
      <c r="BB26" s="211">
        <f t="shared" si="20"/>
        <v>2746.8719947562035</v>
      </c>
      <c r="BC26" s="211">
        <f t="shared" si="20"/>
        <v>2826.6774778077051</v>
      </c>
      <c r="BD26" s="211">
        <f t="shared" si="21"/>
        <v>2906.4829608592067</v>
      </c>
      <c r="BE26" s="211">
        <f t="shared" si="21"/>
        <v>2861.4379718087421</v>
      </c>
      <c r="BF26" s="211">
        <f t="shared" si="21"/>
        <v>2816.3929827582779</v>
      </c>
      <c r="BG26" s="211">
        <f t="shared" si="21"/>
        <v>2771.3479937078132</v>
      </c>
      <c r="BH26" s="211">
        <f t="shared" si="21"/>
        <v>2726.303004657349</v>
      </c>
      <c r="BI26" s="211">
        <f t="shared" si="21"/>
        <v>2681.2580156068843</v>
      </c>
      <c r="BJ26" s="211">
        <f t="shared" si="21"/>
        <v>2636.2130265564201</v>
      </c>
      <c r="BK26" s="211">
        <f t="shared" si="21"/>
        <v>2591.1680375059555</v>
      </c>
      <c r="BL26" s="211">
        <f t="shared" si="21"/>
        <v>2546.1230484554912</v>
      </c>
      <c r="BM26" s="211">
        <f t="shared" si="21"/>
        <v>2501.0780594050266</v>
      </c>
      <c r="BN26" s="211">
        <f t="shared" si="22"/>
        <v>2456.0330703545624</v>
      </c>
      <c r="BO26" s="211">
        <f t="shared" si="22"/>
        <v>2410.9880813040977</v>
      </c>
      <c r="BP26" s="211">
        <f t="shared" si="22"/>
        <v>2365.943092253633</v>
      </c>
      <c r="BQ26" s="211">
        <f t="shared" si="22"/>
        <v>2320.8981032031688</v>
      </c>
      <c r="BR26" s="211">
        <f t="shared" si="22"/>
        <v>2275.8531141527046</v>
      </c>
      <c r="BS26" s="211">
        <f t="shared" si="22"/>
        <v>2230.80812510224</v>
      </c>
      <c r="BT26" s="211">
        <f t="shared" si="22"/>
        <v>2185.7631360517753</v>
      </c>
      <c r="BU26" s="211">
        <f t="shared" si="22"/>
        <v>2140.7181470013111</v>
      </c>
      <c r="BV26" s="211">
        <f t="shared" si="22"/>
        <v>2095.6731579508469</v>
      </c>
      <c r="BW26" s="211">
        <f t="shared" si="22"/>
        <v>2050.6281689003822</v>
      </c>
      <c r="BX26" s="211">
        <f t="shared" si="23"/>
        <v>2005.5831798499175</v>
      </c>
      <c r="BY26" s="211">
        <f t="shared" si="23"/>
        <v>1960.5381907994533</v>
      </c>
      <c r="BZ26" s="211">
        <f t="shared" si="23"/>
        <v>1915.4932017489887</v>
      </c>
      <c r="CA26" s="211">
        <f t="shared" si="23"/>
        <v>1870.4482126985242</v>
      </c>
      <c r="CB26" s="211">
        <f t="shared" si="23"/>
        <v>1825.4032236480598</v>
      </c>
      <c r="CC26" s="211">
        <f t="shared" si="23"/>
        <v>1780.3582345975954</v>
      </c>
      <c r="CD26" s="211">
        <f t="shared" si="23"/>
        <v>1735.3132455471309</v>
      </c>
      <c r="CE26" s="211">
        <f t="shared" si="23"/>
        <v>1690.2682564966665</v>
      </c>
      <c r="CF26" s="211">
        <f t="shared" si="23"/>
        <v>1645.223267446202</v>
      </c>
      <c r="CG26" s="211">
        <f t="shared" si="23"/>
        <v>1600.1782783957376</v>
      </c>
      <c r="CH26" s="211">
        <f t="shared" si="24"/>
        <v>1555.1332893452732</v>
      </c>
      <c r="CI26" s="211">
        <f t="shared" si="24"/>
        <v>5061.9618694753717</v>
      </c>
      <c r="CJ26" s="211">
        <f t="shared" si="24"/>
        <v>8568.7904496054707</v>
      </c>
      <c r="CK26" s="211">
        <f t="shared" si="24"/>
        <v>12075.61902973557</v>
      </c>
      <c r="CL26" s="211">
        <f t="shared" si="24"/>
        <v>15582.447609865669</v>
      </c>
      <c r="CM26" s="211">
        <f t="shared" si="24"/>
        <v>19089.27618999577</v>
      </c>
      <c r="CN26" s="211">
        <f t="shared" si="24"/>
        <v>22596.104770125869</v>
      </c>
      <c r="CO26" s="211">
        <f t="shared" si="24"/>
        <v>26102.933350255964</v>
      </c>
      <c r="CP26" s="211">
        <f t="shared" si="24"/>
        <v>29609.761930386067</v>
      </c>
      <c r="CQ26" s="211">
        <f t="shared" si="24"/>
        <v>33116.590510516166</v>
      </c>
      <c r="CR26" s="211">
        <f t="shared" si="25"/>
        <v>36623.419090646261</v>
      </c>
      <c r="CS26" s="211">
        <f t="shared" si="25"/>
        <v>40130.247670776356</v>
      </c>
      <c r="CT26" s="211">
        <f t="shared" si="25"/>
        <v>43637.076250906459</v>
      </c>
      <c r="CU26" s="211">
        <f t="shared" si="25"/>
        <v>47143.904831036562</v>
      </c>
      <c r="CV26" s="211">
        <f t="shared" si="25"/>
        <v>50650.73341116665</v>
      </c>
      <c r="CW26" s="211">
        <f t="shared" si="25"/>
        <v>52404.147701231705</v>
      </c>
      <c r="CX26" s="211">
        <f t="shared" si="25"/>
        <v>52404.147701231705</v>
      </c>
      <c r="CY26" s="211">
        <f t="shared" si="25"/>
        <v>52404.147701231705</v>
      </c>
      <c r="CZ26" s="211">
        <f t="shared" si="25"/>
        <v>52404.147701231705</v>
      </c>
      <c r="DA26" s="211">
        <f t="shared" si="25"/>
        <v>52404.147701231705</v>
      </c>
    </row>
    <row r="27" spans="1:105">
      <c r="A27" s="202" t="str">
        <f>Income!A74</f>
        <v>Animal products consumed</v>
      </c>
      <c r="B27" s="204">
        <f>Income!B74</f>
        <v>0</v>
      </c>
      <c r="C27" s="204">
        <f>Income!C74</f>
        <v>640.42588776389903</v>
      </c>
      <c r="D27" s="204">
        <f>Income!D74</f>
        <v>731.91530030159879</v>
      </c>
      <c r="E27" s="204">
        <f>Income!E74</f>
        <v>2711.0289841824542</v>
      </c>
      <c r="F27" s="211">
        <f t="shared" si="16"/>
        <v>0</v>
      </c>
      <c r="G27" s="211">
        <f t="shared" si="16"/>
        <v>0</v>
      </c>
      <c r="H27" s="211">
        <f t="shared" si="16"/>
        <v>0</v>
      </c>
      <c r="I27" s="211">
        <f t="shared" si="16"/>
        <v>0</v>
      </c>
      <c r="J27" s="211">
        <f t="shared" si="16"/>
        <v>0</v>
      </c>
      <c r="K27" s="211">
        <f t="shared" si="16"/>
        <v>0</v>
      </c>
      <c r="L27" s="211">
        <f t="shared" si="16"/>
        <v>0</v>
      </c>
      <c r="M27" s="211">
        <f t="shared" si="16"/>
        <v>0</v>
      </c>
      <c r="N27" s="211">
        <f t="shared" si="16"/>
        <v>0</v>
      </c>
      <c r="O27" s="211">
        <f t="shared" si="16"/>
        <v>0</v>
      </c>
      <c r="P27" s="211">
        <f t="shared" si="17"/>
        <v>0</v>
      </c>
      <c r="Q27" s="211">
        <f t="shared" si="17"/>
        <v>0</v>
      </c>
      <c r="R27" s="211">
        <f t="shared" si="17"/>
        <v>0</v>
      </c>
      <c r="S27" s="211">
        <f t="shared" si="17"/>
        <v>0</v>
      </c>
      <c r="T27" s="211">
        <f t="shared" si="17"/>
        <v>0</v>
      </c>
      <c r="U27" s="211">
        <f t="shared" si="17"/>
        <v>9.0200829262521314</v>
      </c>
      <c r="V27" s="211">
        <f t="shared" si="17"/>
        <v>27.060248778756328</v>
      </c>
      <c r="W27" s="211">
        <f t="shared" si="17"/>
        <v>45.100414631260527</v>
      </c>
      <c r="X27" s="211">
        <f t="shared" si="17"/>
        <v>63.140580483764722</v>
      </c>
      <c r="Y27" s="211">
        <f t="shared" si="17"/>
        <v>81.180746336268925</v>
      </c>
      <c r="Z27" s="211">
        <f t="shared" si="18"/>
        <v>99.220912188773127</v>
      </c>
      <c r="AA27" s="211">
        <f t="shared" si="18"/>
        <v>117.26107804127733</v>
      </c>
      <c r="AB27" s="211">
        <f t="shared" si="18"/>
        <v>135.3012438937815</v>
      </c>
      <c r="AC27" s="211">
        <f t="shared" si="18"/>
        <v>153.34140974628573</v>
      </c>
      <c r="AD27" s="211">
        <f t="shared" si="18"/>
        <v>171.38157559878991</v>
      </c>
      <c r="AE27" s="211">
        <f t="shared" si="18"/>
        <v>189.42174145129411</v>
      </c>
      <c r="AF27" s="211">
        <f t="shared" si="18"/>
        <v>207.46190730379831</v>
      </c>
      <c r="AG27" s="211">
        <f t="shared" si="18"/>
        <v>225.50207315630252</v>
      </c>
      <c r="AH27" s="211">
        <f t="shared" si="18"/>
        <v>243.54223900880672</v>
      </c>
      <c r="AI27" s="211">
        <f t="shared" si="18"/>
        <v>261.58240486131092</v>
      </c>
      <c r="AJ27" s="211">
        <f t="shared" si="19"/>
        <v>279.62257071381509</v>
      </c>
      <c r="AK27" s="211">
        <f t="shared" si="19"/>
        <v>297.66273656631927</v>
      </c>
      <c r="AL27" s="211">
        <f t="shared" si="19"/>
        <v>315.7029024188235</v>
      </c>
      <c r="AM27" s="211">
        <f t="shared" si="19"/>
        <v>333.74306827132767</v>
      </c>
      <c r="AN27" s="211">
        <f t="shared" si="19"/>
        <v>351.78323412383185</v>
      </c>
      <c r="AO27" s="211">
        <f t="shared" si="19"/>
        <v>369.82339997633608</v>
      </c>
      <c r="AP27" s="211">
        <f t="shared" si="19"/>
        <v>387.86356582884025</v>
      </c>
      <c r="AQ27" s="211">
        <f t="shared" si="19"/>
        <v>405.90373168134442</v>
      </c>
      <c r="AR27" s="211">
        <f t="shared" si="19"/>
        <v>423.94389753384866</v>
      </c>
      <c r="AS27" s="211">
        <f t="shared" si="19"/>
        <v>441.98406338635289</v>
      </c>
      <c r="AT27" s="211">
        <f t="shared" si="20"/>
        <v>460.02422923885706</v>
      </c>
      <c r="AU27" s="211">
        <f t="shared" si="20"/>
        <v>478.06439509136123</v>
      </c>
      <c r="AV27" s="211">
        <f t="shared" si="20"/>
        <v>496.10456094386547</v>
      </c>
      <c r="AW27" s="211">
        <f t="shared" si="20"/>
        <v>514.14472679636958</v>
      </c>
      <c r="AX27" s="211">
        <f t="shared" si="20"/>
        <v>532.18489264887387</v>
      </c>
      <c r="AY27" s="211">
        <f t="shared" si="20"/>
        <v>550.22505850137804</v>
      </c>
      <c r="AZ27" s="211">
        <f t="shared" si="20"/>
        <v>568.26522435388222</v>
      </c>
      <c r="BA27" s="211">
        <f t="shared" si="20"/>
        <v>586.30539020638651</v>
      </c>
      <c r="BB27" s="211">
        <f t="shared" si="20"/>
        <v>604.34555605889057</v>
      </c>
      <c r="BC27" s="211">
        <f t="shared" si="20"/>
        <v>622.38572191139485</v>
      </c>
      <c r="BD27" s="211">
        <f t="shared" si="21"/>
        <v>640.42588776389903</v>
      </c>
      <c r="BE27" s="211">
        <f t="shared" si="21"/>
        <v>643.47553484848902</v>
      </c>
      <c r="BF27" s="211">
        <f t="shared" si="21"/>
        <v>646.52518193307901</v>
      </c>
      <c r="BG27" s="211">
        <f t="shared" si="21"/>
        <v>649.574829017669</v>
      </c>
      <c r="BH27" s="211">
        <f t="shared" si="21"/>
        <v>652.624476102259</v>
      </c>
      <c r="BI27" s="211">
        <f t="shared" si="21"/>
        <v>655.67412318684899</v>
      </c>
      <c r="BJ27" s="211">
        <f t="shared" si="21"/>
        <v>658.72377027143898</v>
      </c>
      <c r="BK27" s="211">
        <f t="shared" si="21"/>
        <v>661.77341735602897</v>
      </c>
      <c r="BL27" s="211">
        <f t="shared" si="21"/>
        <v>664.82306444061896</v>
      </c>
      <c r="BM27" s="211">
        <f t="shared" si="21"/>
        <v>667.87271152520896</v>
      </c>
      <c r="BN27" s="211">
        <f t="shared" si="22"/>
        <v>670.92235860979895</v>
      </c>
      <c r="BO27" s="211">
        <f t="shared" si="22"/>
        <v>673.97200569438894</v>
      </c>
      <c r="BP27" s="211">
        <f t="shared" si="22"/>
        <v>677.02165277897893</v>
      </c>
      <c r="BQ27" s="211">
        <f t="shared" si="22"/>
        <v>680.07129986356892</v>
      </c>
      <c r="BR27" s="211">
        <f t="shared" si="22"/>
        <v>683.12094694815892</v>
      </c>
      <c r="BS27" s="211">
        <f t="shared" si="22"/>
        <v>686.17059403274891</v>
      </c>
      <c r="BT27" s="211">
        <f t="shared" si="22"/>
        <v>689.2202411173389</v>
      </c>
      <c r="BU27" s="211">
        <f t="shared" si="22"/>
        <v>692.26988820192889</v>
      </c>
      <c r="BV27" s="211">
        <f t="shared" si="22"/>
        <v>695.31953528651889</v>
      </c>
      <c r="BW27" s="211">
        <f t="shared" si="22"/>
        <v>698.36918237110888</v>
      </c>
      <c r="BX27" s="211">
        <f t="shared" si="23"/>
        <v>701.41882945569887</v>
      </c>
      <c r="BY27" s="211">
        <f t="shared" si="23"/>
        <v>704.46847654028886</v>
      </c>
      <c r="BZ27" s="211">
        <f t="shared" si="23"/>
        <v>707.51812362487885</v>
      </c>
      <c r="CA27" s="211">
        <f t="shared" si="23"/>
        <v>710.56777070946885</v>
      </c>
      <c r="CB27" s="211">
        <f t="shared" si="23"/>
        <v>713.61741779405884</v>
      </c>
      <c r="CC27" s="211">
        <f t="shared" si="23"/>
        <v>716.66706487864883</v>
      </c>
      <c r="CD27" s="211">
        <f t="shared" si="23"/>
        <v>719.71671196323882</v>
      </c>
      <c r="CE27" s="211">
        <f t="shared" si="23"/>
        <v>722.76635904782881</v>
      </c>
      <c r="CF27" s="211">
        <f t="shared" si="23"/>
        <v>725.81600613241881</v>
      </c>
      <c r="CG27" s="211">
        <f t="shared" si="23"/>
        <v>728.8656532170088</v>
      </c>
      <c r="CH27" s="211">
        <f t="shared" si="24"/>
        <v>731.91530030159879</v>
      </c>
      <c r="CI27" s="211">
        <f t="shared" si="24"/>
        <v>868.40589918993362</v>
      </c>
      <c r="CJ27" s="211">
        <f t="shared" si="24"/>
        <v>1004.8964980782685</v>
      </c>
      <c r="CK27" s="211">
        <f t="shared" si="24"/>
        <v>1141.3870969666034</v>
      </c>
      <c r="CL27" s="211">
        <f t="shared" si="24"/>
        <v>1277.8776958549383</v>
      </c>
      <c r="CM27" s="211">
        <f t="shared" si="24"/>
        <v>1414.3682947432731</v>
      </c>
      <c r="CN27" s="211">
        <f t="shared" si="24"/>
        <v>1550.858893631608</v>
      </c>
      <c r="CO27" s="211">
        <f t="shared" si="24"/>
        <v>1687.3494925199427</v>
      </c>
      <c r="CP27" s="211">
        <f t="shared" si="24"/>
        <v>1823.8400914082777</v>
      </c>
      <c r="CQ27" s="211">
        <f t="shared" si="24"/>
        <v>1960.3306902966124</v>
      </c>
      <c r="CR27" s="211">
        <f t="shared" si="25"/>
        <v>2096.8212891849471</v>
      </c>
      <c r="CS27" s="211">
        <f t="shared" si="25"/>
        <v>2233.3118880732823</v>
      </c>
      <c r="CT27" s="211">
        <f t="shared" si="25"/>
        <v>2369.8024869616174</v>
      </c>
      <c r="CU27" s="211">
        <f t="shared" si="25"/>
        <v>2506.2930858499521</v>
      </c>
      <c r="CV27" s="211">
        <f t="shared" si="25"/>
        <v>2642.7836847382869</v>
      </c>
      <c r="CW27" s="211">
        <f t="shared" si="25"/>
        <v>2711.0289841824542</v>
      </c>
      <c r="CX27" s="211">
        <f t="shared" si="25"/>
        <v>2711.0289841824542</v>
      </c>
      <c r="CY27" s="211">
        <f t="shared" si="25"/>
        <v>2711.0289841824542</v>
      </c>
      <c r="CZ27" s="211">
        <f t="shared" si="25"/>
        <v>2711.0289841824542</v>
      </c>
      <c r="DA27" s="211">
        <f t="shared" si="25"/>
        <v>2711.0289841824542</v>
      </c>
    </row>
    <row r="28" spans="1:105">
      <c r="A28" s="202" t="str">
        <f>Income!A75</f>
        <v>Animal products sold</v>
      </c>
      <c r="B28" s="204">
        <f>Income!B75</f>
        <v>0</v>
      </c>
      <c r="C28" s="204">
        <f>Income!C75</f>
        <v>0</v>
      </c>
      <c r="D28" s="204">
        <f>Income!D75</f>
        <v>0</v>
      </c>
      <c r="E28" s="204">
        <f>Income!E75</f>
        <v>0</v>
      </c>
      <c r="F28" s="211">
        <f t="shared" si="16"/>
        <v>0</v>
      </c>
      <c r="G28" s="211">
        <f t="shared" si="16"/>
        <v>0</v>
      </c>
      <c r="H28" s="211">
        <f t="shared" si="16"/>
        <v>0</v>
      </c>
      <c r="I28" s="211">
        <f t="shared" si="16"/>
        <v>0</v>
      </c>
      <c r="J28" s="211">
        <f t="shared" si="16"/>
        <v>0</v>
      </c>
      <c r="K28" s="211">
        <f t="shared" si="16"/>
        <v>0</v>
      </c>
      <c r="L28" s="211">
        <f t="shared" si="16"/>
        <v>0</v>
      </c>
      <c r="M28" s="211">
        <f t="shared" si="16"/>
        <v>0</v>
      </c>
      <c r="N28" s="211">
        <f t="shared" si="16"/>
        <v>0</v>
      </c>
      <c r="O28" s="211">
        <f t="shared" si="16"/>
        <v>0</v>
      </c>
      <c r="P28" s="211">
        <f t="shared" si="17"/>
        <v>0</v>
      </c>
      <c r="Q28" s="211">
        <f t="shared" si="17"/>
        <v>0</v>
      </c>
      <c r="R28" s="211">
        <f t="shared" si="17"/>
        <v>0</v>
      </c>
      <c r="S28" s="211">
        <f t="shared" si="17"/>
        <v>0</v>
      </c>
      <c r="T28" s="211">
        <f t="shared" si="17"/>
        <v>0</v>
      </c>
      <c r="U28" s="211">
        <f t="shared" si="17"/>
        <v>0</v>
      </c>
      <c r="V28" s="211">
        <f t="shared" si="17"/>
        <v>0</v>
      </c>
      <c r="W28" s="211">
        <f t="shared" si="17"/>
        <v>0</v>
      </c>
      <c r="X28" s="211">
        <f t="shared" si="17"/>
        <v>0</v>
      </c>
      <c r="Y28" s="211">
        <f t="shared" si="17"/>
        <v>0</v>
      </c>
      <c r="Z28" s="211">
        <f t="shared" si="18"/>
        <v>0</v>
      </c>
      <c r="AA28" s="211">
        <f t="shared" si="18"/>
        <v>0</v>
      </c>
      <c r="AB28" s="211">
        <f t="shared" si="18"/>
        <v>0</v>
      </c>
      <c r="AC28" s="211">
        <f t="shared" si="18"/>
        <v>0</v>
      </c>
      <c r="AD28" s="211">
        <f t="shared" si="18"/>
        <v>0</v>
      </c>
      <c r="AE28" s="211">
        <f t="shared" si="18"/>
        <v>0</v>
      </c>
      <c r="AF28" s="211">
        <f t="shared" si="18"/>
        <v>0</v>
      </c>
      <c r="AG28" s="211">
        <f t="shared" si="18"/>
        <v>0</v>
      </c>
      <c r="AH28" s="211">
        <f t="shared" si="18"/>
        <v>0</v>
      </c>
      <c r="AI28" s="211">
        <f t="shared" si="18"/>
        <v>0</v>
      </c>
      <c r="AJ28" s="211">
        <f t="shared" si="19"/>
        <v>0</v>
      </c>
      <c r="AK28" s="211">
        <f t="shared" si="19"/>
        <v>0</v>
      </c>
      <c r="AL28" s="211">
        <f t="shared" si="19"/>
        <v>0</v>
      </c>
      <c r="AM28" s="211">
        <f t="shared" si="19"/>
        <v>0</v>
      </c>
      <c r="AN28" s="211">
        <f t="shared" si="19"/>
        <v>0</v>
      </c>
      <c r="AO28" s="211">
        <f t="shared" si="19"/>
        <v>0</v>
      </c>
      <c r="AP28" s="211">
        <f t="shared" si="19"/>
        <v>0</v>
      </c>
      <c r="AQ28" s="211">
        <f t="shared" si="19"/>
        <v>0</v>
      </c>
      <c r="AR28" s="211">
        <f t="shared" si="19"/>
        <v>0</v>
      </c>
      <c r="AS28" s="211">
        <f t="shared" si="19"/>
        <v>0</v>
      </c>
      <c r="AT28" s="211">
        <f t="shared" si="20"/>
        <v>0</v>
      </c>
      <c r="AU28" s="211">
        <f t="shared" si="20"/>
        <v>0</v>
      </c>
      <c r="AV28" s="211">
        <f t="shared" si="20"/>
        <v>0</v>
      </c>
      <c r="AW28" s="211">
        <f t="shared" si="20"/>
        <v>0</v>
      </c>
      <c r="AX28" s="211">
        <f t="shared" si="20"/>
        <v>0</v>
      </c>
      <c r="AY28" s="211">
        <f t="shared" si="20"/>
        <v>0</v>
      </c>
      <c r="AZ28" s="211">
        <f t="shared" si="20"/>
        <v>0</v>
      </c>
      <c r="BA28" s="211">
        <f t="shared" si="20"/>
        <v>0</v>
      </c>
      <c r="BB28" s="211">
        <f t="shared" si="20"/>
        <v>0</v>
      </c>
      <c r="BC28" s="211">
        <f t="shared" si="20"/>
        <v>0</v>
      </c>
      <c r="BD28" s="211">
        <f t="shared" si="21"/>
        <v>0</v>
      </c>
      <c r="BE28" s="211">
        <f t="shared" si="21"/>
        <v>0</v>
      </c>
      <c r="BF28" s="211">
        <f t="shared" si="21"/>
        <v>0</v>
      </c>
      <c r="BG28" s="211">
        <f t="shared" si="21"/>
        <v>0</v>
      </c>
      <c r="BH28" s="211">
        <f t="shared" si="21"/>
        <v>0</v>
      </c>
      <c r="BI28" s="211">
        <f t="shared" si="21"/>
        <v>0</v>
      </c>
      <c r="BJ28" s="211">
        <f t="shared" si="21"/>
        <v>0</v>
      </c>
      <c r="BK28" s="211">
        <f t="shared" si="21"/>
        <v>0</v>
      </c>
      <c r="BL28" s="211">
        <f t="shared" si="21"/>
        <v>0</v>
      </c>
      <c r="BM28" s="211">
        <f t="shared" si="21"/>
        <v>0</v>
      </c>
      <c r="BN28" s="211">
        <f t="shared" si="22"/>
        <v>0</v>
      </c>
      <c r="BO28" s="211">
        <f t="shared" si="22"/>
        <v>0</v>
      </c>
      <c r="BP28" s="211">
        <f t="shared" si="22"/>
        <v>0</v>
      </c>
      <c r="BQ28" s="211">
        <f t="shared" si="22"/>
        <v>0</v>
      </c>
      <c r="BR28" s="211">
        <f t="shared" si="22"/>
        <v>0</v>
      </c>
      <c r="BS28" s="211">
        <f t="shared" si="22"/>
        <v>0</v>
      </c>
      <c r="BT28" s="211">
        <f t="shared" si="22"/>
        <v>0</v>
      </c>
      <c r="BU28" s="211">
        <f t="shared" si="22"/>
        <v>0</v>
      </c>
      <c r="BV28" s="211">
        <f t="shared" si="22"/>
        <v>0</v>
      </c>
      <c r="BW28" s="211">
        <f t="shared" si="22"/>
        <v>0</v>
      </c>
      <c r="BX28" s="211">
        <f t="shared" si="23"/>
        <v>0</v>
      </c>
      <c r="BY28" s="211">
        <f t="shared" si="23"/>
        <v>0</v>
      </c>
      <c r="BZ28" s="211">
        <f t="shared" si="23"/>
        <v>0</v>
      </c>
      <c r="CA28" s="211">
        <f t="shared" si="23"/>
        <v>0</v>
      </c>
      <c r="CB28" s="211">
        <f t="shared" si="23"/>
        <v>0</v>
      </c>
      <c r="CC28" s="211">
        <f t="shared" si="23"/>
        <v>0</v>
      </c>
      <c r="CD28" s="211">
        <f t="shared" si="23"/>
        <v>0</v>
      </c>
      <c r="CE28" s="211">
        <f t="shared" si="23"/>
        <v>0</v>
      </c>
      <c r="CF28" s="211">
        <f t="shared" si="23"/>
        <v>0</v>
      </c>
      <c r="CG28" s="211">
        <f t="shared" si="23"/>
        <v>0</v>
      </c>
      <c r="CH28" s="211">
        <f t="shared" si="24"/>
        <v>0</v>
      </c>
      <c r="CI28" s="211">
        <f t="shared" si="24"/>
        <v>0</v>
      </c>
      <c r="CJ28" s="211">
        <f t="shared" si="24"/>
        <v>0</v>
      </c>
      <c r="CK28" s="211">
        <f t="shared" si="24"/>
        <v>0</v>
      </c>
      <c r="CL28" s="211">
        <f t="shared" si="24"/>
        <v>0</v>
      </c>
      <c r="CM28" s="211">
        <f t="shared" si="24"/>
        <v>0</v>
      </c>
      <c r="CN28" s="211">
        <f t="shared" si="24"/>
        <v>0</v>
      </c>
      <c r="CO28" s="211">
        <f t="shared" si="24"/>
        <v>0</v>
      </c>
      <c r="CP28" s="211">
        <f t="shared" si="24"/>
        <v>0</v>
      </c>
      <c r="CQ28" s="211">
        <f t="shared" si="24"/>
        <v>0</v>
      </c>
      <c r="CR28" s="211">
        <f t="shared" si="25"/>
        <v>0</v>
      </c>
      <c r="CS28" s="211">
        <f t="shared" si="25"/>
        <v>0</v>
      </c>
      <c r="CT28" s="211">
        <f t="shared" si="25"/>
        <v>0</v>
      </c>
      <c r="CU28" s="211">
        <f t="shared" si="25"/>
        <v>0</v>
      </c>
      <c r="CV28" s="211">
        <f t="shared" si="25"/>
        <v>0</v>
      </c>
      <c r="CW28" s="211">
        <f t="shared" si="25"/>
        <v>0</v>
      </c>
      <c r="CX28" s="211">
        <f t="shared" si="25"/>
        <v>0</v>
      </c>
      <c r="CY28" s="211">
        <f t="shared" si="25"/>
        <v>0</v>
      </c>
      <c r="CZ28" s="211">
        <f t="shared" si="25"/>
        <v>0</v>
      </c>
      <c r="DA28" s="211">
        <f t="shared" si="25"/>
        <v>0</v>
      </c>
    </row>
    <row r="29" spans="1:105">
      <c r="A29" s="202" t="str">
        <f>Income!A76</f>
        <v>Animals sold</v>
      </c>
      <c r="B29" s="204">
        <f>Income!B76</f>
        <v>0</v>
      </c>
      <c r="C29" s="204">
        <f>Income!C76</f>
        <v>7413.748488798682</v>
      </c>
      <c r="D29" s="204">
        <f>Income!D76</f>
        <v>15201.864738543682</v>
      </c>
      <c r="E29" s="204">
        <f>Income!E76</f>
        <v>28866.069595487545</v>
      </c>
      <c r="F29" s="211">
        <f t="shared" si="16"/>
        <v>0</v>
      </c>
      <c r="G29" s="211">
        <f t="shared" si="16"/>
        <v>0</v>
      </c>
      <c r="H29" s="211">
        <f t="shared" si="16"/>
        <v>0</v>
      </c>
      <c r="I29" s="211">
        <f t="shared" si="16"/>
        <v>0</v>
      </c>
      <c r="J29" s="211">
        <f t="shared" si="16"/>
        <v>0</v>
      </c>
      <c r="K29" s="211">
        <f t="shared" si="16"/>
        <v>0</v>
      </c>
      <c r="L29" s="211">
        <f t="shared" si="16"/>
        <v>0</v>
      </c>
      <c r="M29" s="211">
        <f t="shared" si="16"/>
        <v>0</v>
      </c>
      <c r="N29" s="211">
        <f t="shared" si="16"/>
        <v>0</v>
      </c>
      <c r="O29" s="211">
        <f t="shared" si="16"/>
        <v>0</v>
      </c>
      <c r="P29" s="211">
        <f t="shared" si="17"/>
        <v>0</v>
      </c>
      <c r="Q29" s="211">
        <f t="shared" si="17"/>
        <v>0</v>
      </c>
      <c r="R29" s="211">
        <f t="shared" si="17"/>
        <v>0</v>
      </c>
      <c r="S29" s="211">
        <f t="shared" si="17"/>
        <v>0</v>
      </c>
      <c r="T29" s="211">
        <f t="shared" si="17"/>
        <v>0</v>
      </c>
      <c r="U29" s="211">
        <f t="shared" si="17"/>
        <v>104.41899279998181</v>
      </c>
      <c r="V29" s="211">
        <f t="shared" si="17"/>
        <v>313.25697839994467</v>
      </c>
      <c r="W29" s="211">
        <f t="shared" si="17"/>
        <v>522.09496399990746</v>
      </c>
      <c r="X29" s="211">
        <f t="shared" si="17"/>
        <v>730.93294959987043</v>
      </c>
      <c r="Y29" s="211">
        <f t="shared" si="17"/>
        <v>939.77093519983316</v>
      </c>
      <c r="Z29" s="211">
        <f t="shared" si="18"/>
        <v>1148.6089207997961</v>
      </c>
      <c r="AA29" s="211">
        <f t="shared" si="18"/>
        <v>1357.446906399759</v>
      </c>
      <c r="AB29" s="211">
        <f t="shared" si="18"/>
        <v>1566.284891999722</v>
      </c>
      <c r="AC29" s="211">
        <f t="shared" si="18"/>
        <v>1775.1228775996849</v>
      </c>
      <c r="AD29" s="211">
        <f t="shared" si="18"/>
        <v>1983.9608631996477</v>
      </c>
      <c r="AE29" s="211">
        <f t="shared" si="18"/>
        <v>2192.7988487996108</v>
      </c>
      <c r="AF29" s="211">
        <f t="shared" si="18"/>
        <v>2401.6368343995732</v>
      </c>
      <c r="AG29" s="211">
        <f t="shared" si="18"/>
        <v>2610.4748199995361</v>
      </c>
      <c r="AH29" s="211">
        <f t="shared" si="18"/>
        <v>2819.3128055994989</v>
      </c>
      <c r="AI29" s="211">
        <f t="shared" si="18"/>
        <v>3028.1507911994622</v>
      </c>
      <c r="AJ29" s="211">
        <f t="shared" si="19"/>
        <v>3236.9887767994251</v>
      </c>
      <c r="AK29" s="211">
        <f t="shared" si="19"/>
        <v>3445.8267623993875</v>
      </c>
      <c r="AL29" s="211">
        <f t="shared" si="19"/>
        <v>3654.6647479993503</v>
      </c>
      <c r="AM29" s="211">
        <f t="shared" si="19"/>
        <v>3863.5027335993136</v>
      </c>
      <c r="AN29" s="211">
        <f t="shared" si="19"/>
        <v>4072.340719199276</v>
      </c>
      <c r="AO29" s="211">
        <f t="shared" si="19"/>
        <v>4281.1787047992393</v>
      </c>
      <c r="AP29" s="211">
        <f t="shared" si="19"/>
        <v>4490.0166903992022</v>
      </c>
      <c r="AQ29" s="211">
        <f t="shared" si="19"/>
        <v>4698.854675999165</v>
      </c>
      <c r="AR29" s="211">
        <f t="shared" si="19"/>
        <v>4907.692661599127</v>
      </c>
      <c r="AS29" s="211">
        <f t="shared" si="19"/>
        <v>5116.5306471990898</v>
      </c>
      <c r="AT29" s="211">
        <f t="shared" si="20"/>
        <v>5325.3686327990526</v>
      </c>
      <c r="AU29" s="211">
        <f t="shared" si="20"/>
        <v>5534.2066183990155</v>
      </c>
      <c r="AV29" s="211">
        <f t="shared" si="20"/>
        <v>5743.0446039989793</v>
      </c>
      <c r="AW29" s="211">
        <f t="shared" si="20"/>
        <v>5951.8825895989421</v>
      </c>
      <c r="AX29" s="211">
        <f t="shared" si="20"/>
        <v>6160.720575198905</v>
      </c>
      <c r="AY29" s="211">
        <f t="shared" si="20"/>
        <v>6369.5585607988678</v>
      </c>
      <c r="AZ29" s="211">
        <f t="shared" si="20"/>
        <v>6578.3965463988307</v>
      </c>
      <c r="BA29" s="211">
        <f t="shared" si="20"/>
        <v>6787.2345319987935</v>
      </c>
      <c r="BB29" s="211">
        <f t="shared" si="20"/>
        <v>6996.0725175987563</v>
      </c>
      <c r="BC29" s="211">
        <f t="shared" si="20"/>
        <v>7204.9105031987192</v>
      </c>
      <c r="BD29" s="211">
        <f t="shared" si="21"/>
        <v>7413.748488798682</v>
      </c>
      <c r="BE29" s="211">
        <f t="shared" si="21"/>
        <v>7673.3523637901817</v>
      </c>
      <c r="BF29" s="211">
        <f t="shared" si="21"/>
        <v>7932.9562387816823</v>
      </c>
      <c r="BG29" s="211">
        <f t="shared" si="21"/>
        <v>8192.5601137731828</v>
      </c>
      <c r="BH29" s="211">
        <f t="shared" si="21"/>
        <v>8452.1639887646816</v>
      </c>
      <c r="BI29" s="211">
        <f t="shared" si="21"/>
        <v>8711.7678637561821</v>
      </c>
      <c r="BJ29" s="211">
        <f t="shared" si="21"/>
        <v>8971.3717387476827</v>
      </c>
      <c r="BK29" s="211">
        <f t="shared" si="21"/>
        <v>9230.9756137391814</v>
      </c>
      <c r="BL29" s="211">
        <f t="shared" si="21"/>
        <v>9490.579488730682</v>
      </c>
      <c r="BM29" s="211">
        <f t="shared" si="21"/>
        <v>9750.1833637221825</v>
      </c>
      <c r="BN29" s="211">
        <f t="shared" si="22"/>
        <v>10009.787238713681</v>
      </c>
      <c r="BO29" s="211">
        <f t="shared" si="22"/>
        <v>10269.391113705182</v>
      </c>
      <c r="BP29" s="211">
        <f t="shared" si="22"/>
        <v>10528.994988696682</v>
      </c>
      <c r="BQ29" s="211">
        <f t="shared" si="22"/>
        <v>10788.598863688181</v>
      </c>
      <c r="BR29" s="211">
        <f t="shared" si="22"/>
        <v>11048.202738679682</v>
      </c>
      <c r="BS29" s="211">
        <f t="shared" si="22"/>
        <v>11307.806613671182</v>
      </c>
      <c r="BT29" s="211">
        <f t="shared" si="22"/>
        <v>11567.410488662681</v>
      </c>
      <c r="BU29" s="211">
        <f t="shared" si="22"/>
        <v>11827.014363654182</v>
      </c>
      <c r="BV29" s="211">
        <f t="shared" si="22"/>
        <v>12086.618238645682</v>
      </c>
      <c r="BW29" s="211">
        <f t="shared" si="22"/>
        <v>12346.222113637181</v>
      </c>
      <c r="BX29" s="211">
        <f t="shared" si="23"/>
        <v>12605.825988628683</v>
      </c>
      <c r="BY29" s="211">
        <f t="shared" si="23"/>
        <v>12865.429863620182</v>
      </c>
      <c r="BZ29" s="211">
        <f t="shared" si="23"/>
        <v>13125.033738611681</v>
      </c>
      <c r="CA29" s="211">
        <f t="shared" si="23"/>
        <v>13384.637613603181</v>
      </c>
      <c r="CB29" s="211">
        <f t="shared" si="23"/>
        <v>13644.241488594682</v>
      </c>
      <c r="CC29" s="211">
        <f t="shared" si="23"/>
        <v>13903.845363586181</v>
      </c>
      <c r="CD29" s="211">
        <f t="shared" si="23"/>
        <v>14163.449238577683</v>
      </c>
      <c r="CE29" s="211">
        <f t="shared" si="23"/>
        <v>14423.053113569182</v>
      </c>
      <c r="CF29" s="211">
        <f t="shared" si="23"/>
        <v>14682.65698856068</v>
      </c>
      <c r="CG29" s="211">
        <f t="shared" si="23"/>
        <v>14942.260863552181</v>
      </c>
      <c r="CH29" s="211">
        <f t="shared" si="24"/>
        <v>15201.864738543682</v>
      </c>
      <c r="CI29" s="211">
        <f t="shared" si="24"/>
        <v>16144.223694194983</v>
      </c>
      <c r="CJ29" s="211">
        <f t="shared" si="24"/>
        <v>17086.582649846285</v>
      </c>
      <c r="CK29" s="211">
        <f t="shared" si="24"/>
        <v>18028.941605497585</v>
      </c>
      <c r="CL29" s="211">
        <f t="shared" si="24"/>
        <v>18971.300561148884</v>
      </c>
      <c r="CM29" s="211">
        <f t="shared" si="24"/>
        <v>19913.659516800188</v>
      </c>
      <c r="CN29" s="211">
        <f t="shared" si="24"/>
        <v>20856.018472451487</v>
      </c>
      <c r="CO29" s="211">
        <f t="shared" si="24"/>
        <v>21798.377428102787</v>
      </c>
      <c r="CP29" s="211">
        <f t="shared" si="24"/>
        <v>22740.736383754091</v>
      </c>
      <c r="CQ29" s="211">
        <f t="shared" si="24"/>
        <v>23683.09533940539</v>
      </c>
      <c r="CR29" s="211">
        <f t="shared" si="25"/>
        <v>24625.45429505669</v>
      </c>
      <c r="CS29" s="211">
        <f t="shared" si="25"/>
        <v>25567.813250707994</v>
      </c>
      <c r="CT29" s="211">
        <f t="shared" si="25"/>
        <v>26510.17220635929</v>
      </c>
      <c r="CU29" s="211">
        <f t="shared" si="25"/>
        <v>27452.531162010593</v>
      </c>
      <c r="CV29" s="211">
        <f t="shared" si="25"/>
        <v>28394.890117661897</v>
      </c>
      <c r="CW29" s="211">
        <f t="shared" si="25"/>
        <v>28866.069595487545</v>
      </c>
      <c r="CX29" s="211">
        <f t="shared" si="25"/>
        <v>28866.069595487545</v>
      </c>
      <c r="CY29" s="211">
        <f t="shared" si="25"/>
        <v>28866.069595487545</v>
      </c>
      <c r="CZ29" s="211">
        <f t="shared" si="25"/>
        <v>28866.069595487545</v>
      </c>
      <c r="DA29" s="211">
        <f t="shared" si="25"/>
        <v>28866.069595487545</v>
      </c>
    </row>
    <row r="30" spans="1:105">
      <c r="A30" s="202" t="str">
        <f>Income!A77</f>
        <v>Wild foods consumed and sold</v>
      </c>
      <c r="B30" s="204">
        <f>Income!B77</f>
        <v>1178.925965619884</v>
      </c>
      <c r="C30" s="204">
        <f>Income!C77</f>
        <v>365.17809838714737</v>
      </c>
      <c r="D30" s="204">
        <f>Income!D77</f>
        <v>0</v>
      </c>
      <c r="E30" s="204">
        <f>Income!E77</f>
        <v>0</v>
      </c>
      <c r="F30" s="211">
        <f t="shared" si="16"/>
        <v>1178.925965619884</v>
      </c>
      <c r="G30" s="211">
        <f t="shared" si="16"/>
        <v>1178.925965619884</v>
      </c>
      <c r="H30" s="211">
        <f t="shared" si="16"/>
        <v>1178.925965619884</v>
      </c>
      <c r="I30" s="211">
        <f t="shared" si="16"/>
        <v>1178.925965619884</v>
      </c>
      <c r="J30" s="211">
        <f t="shared" si="16"/>
        <v>1178.925965619884</v>
      </c>
      <c r="K30" s="211">
        <f t="shared" si="16"/>
        <v>1178.925965619884</v>
      </c>
      <c r="L30" s="211">
        <f t="shared" si="16"/>
        <v>1178.925965619884</v>
      </c>
      <c r="M30" s="211">
        <f t="shared" si="16"/>
        <v>1178.925965619884</v>
      </c>
      <c r="N30" s="211">
        <f t="shared" si="16"/>
        <v>1178.925965619884</v>
      </c>
      <c r="O30" s="211">
        <f t="shared" si="16"/>
        <v>1178.925965619884</v>
      </c>
      <c r="P30" s="211">
        <f t="shared" si="17"/>
        <v>1178.925965619884</v>
      </c>
      <c r="Q30" s="211">
        <f t="shared" si="17"/>
        <v>1178.925965619884</v>
      </c>
      <c r="R30" s="211">
        <f t="shared" si="17"/>
        <v>1178.925965619884</v>
      </c>
      <c r="S30" s="211">
        <f t="shared" si="17"/>
        <v>1178.925965619884</v>
      </c>
      <c r="T30" s="211">
        <f t="shared" si="17"/>
        <v>1178.925965619884</v>
      </c>
      <c r="U30" s="211">
        <f t="shared" si="17"/>
        <v>1167.4647280532256</v>
      </c>
      <c r="V30" s="211">
        <f t="shared" si="17"/>
        <v>1144.5422529199091</v>
      </c>
      <c r="W30" s="211">
        <f t="shared" si="17"/>
        <v>1121.6197777865927</v>
      </c>
      <c r="X30" s="211">
        <f t="shared" si="17"/>
        <v>1098.6973026532762</v>
      </c>
      <c r="Y30" s="211">
        <f t="shared" si="17"/>
        <v>1075.7748275199597</v>
      </c>
      <c r="Z30" s="211">
        <f t="shared" si="18"/>
        <v>1052.8523523866431</v>
      </c>
      <c r="AA30" s="211">
        <f t="shared" si="18"/>
        <v>1029.9298772533266</v>
      </c>
      <c r="AB30" s="211">
        <f t="shared" si="18"/>
        <v>1007.0074021200101</v>
      </c>
      <c r="AC30" s="211">
        <f t="shared" si="18"/>
        <v>984.08492698669352</v>
      </c>
      <c r="AD30" s="211">
        <f t="shared" si="18"/>
        <v>961.16245185337698</v>
      </c>
      <c r="AE30" s="211">
        <f t="shared" si="18"/>
        <v>938.23997672006044</v>
      </c>
      <c r="AF30" s="211">
        <f t="shared" si="18"/>
        <v>915.3175015867439</v>
      </c>
      <c r="AG30" s="211">
        <f t="shared" si="18"/>
        <v>892.39502645342736</v>
      </c>
      <c r="AH30" s="211">
        <f t="shared" si="18"/>
        <v>869.47255132011082</v>
      </c>
      <c r="AI30" s="211">
        <f t="shared" si="18"/>
        <v>846.55007618679429</v>
      </c>
      <c r="AJ30" s="211">
        <f t="shared" si="19"/>
        <v>823.62760105347786</v>
      </c>
      <c r="AK30" s="211">
        <f t="shared" si="19"/>
        <v>800.70512592016132</v>
      </c>
      <c r="AL30" s="211">
        <f t="shared" si="19"/>
        <v>777.7826507868449</v>
      </c>
      <c r="AM30" s="211">
        <f t="shared" si="19"/>
        <v>754.86017565352836</v>
      </c>
      <c r="AN30" s="211">
        <f t="shared" si="19"/>
        <v>731.93770052021182</v>
      </c>
      <c r="AO30" s="211">
        <f t="shared" si="19"/>
        <v>709.01522538689528</v>
      </c>
      <c r="AP30" s="211">
        <f t="shared" si="19"/>
        <v>686.09275025357874</v>
      </c>
      <c r="AQ30" s="211">
        <f t="shared" si="19"/>
        <v>663.1702751202622</v>
      </c>
      <c r="AR30" s="211">
        <f t="shared" si="19"/>
        <v>640.24779998694567</v>
      </c>
      <c r="AS30" s="211">
        <f t="shared" si="19"/>
        <v>617.32532485362924</v>
      </c>
      <c r="AT30" s="211">
        <f t="shared" si="20"/>
        <v>594.4028497203127</v>
      </c>
      <c r="AU30" s="211">
        <f t="shared" si="20"/>
        <v>571.48037458699605</v>
      </c>
      <c r="AV30" s="211">
        <f t="shared" si="20"/>
        <v>548.55789945367962</v>
      </c>
      <c r="AW30" s="211">
        <f t="shared" si="20"/>
        <v>525.63542432036309</v>
      </c>
      <c r="AX30" s="211">
        <f t="shared" si="20"/>
        <v>502.71294918704666</v>
      </c>
      <c r="AY30" s="211">
        <f t="shared" si="20"/>
        <v>479.79047405373001</v>
      </c>
      <c r="AZ30" s="211">
        <f t="shared" si="20"/>
        <v>456.86799892041347</v>
      </c>
      <c r="BA30" s="211">
        <f t="shared" si="20"/>
        <v>433.94552378709704</v>
      </c>
      <c r="BB30" s="211">
        <f t="shared" si="20"/>
        <v>411.02304865378051</v>
      </c>
      <c r="BC30" s="211">
        <f t="shared" si="20"/>
        <v>388.10057352046385</v>
      </c>
      <c r="BD30" s="211">
        <f t="shared" si="21"/>
        <v>365.17809838714743</v>
      </c>
      <c r="BE30" s="211">
        <f t="shared" si="21"/>
        <v>353.00549510757577</v>
      </c>
      <c r="BF30" s="211">
        <f t="shared" si="21"/>
        <v>340.83289182800422</v>
      </c>
      <c r="BG30" s="211">
        <f t="shared" si="21"/>
        <v>328.66028854843262</v>
      </c>
      <c r="BH30" s="211">
        <f t="shared" si="21"/>
        <v>316.48768526886107</v>
      </c>
      <c r="BI30" s="211">
        <f t="shared" si="21"/>
        <v>304.31508198928947</v>
      </c>
      <c r="BJ30" s="211">
        <f t="shared" si="21"/>
        <v>292.14247870971792</v>
      </c>
      <c r="BK30" s="211">
        <f t="shared" si="21"/>
        <v>279.96987543014632</v>
      </c>
      <c r="BL30" s="211">
        <f t="shared" si="21"/>
        <v>267.79727215057471</v>
      </c>
      <c r="BM30" s="211">
        <f t="shared" si="21"/>
        <v>255.62466887100317</v>
      </c>
      <c r="BN30" s="211">
        <f t="shared" si="22"/>
        <v>243.45206559143156</v>
      </c>
      <c r="BO30" s="211">
        <f t="shared" si="22"/>
        <v>231.27946231186002</v>
      </c>
      <c r="BP30" s="211">
        <f t="shared" si="22"/>
        <v>219.10685903228844</v>
      </c>
      <c r="BQ30" s="211">
        <f t="shared" si="22"/>
        <v>206.93425575271684</v>
      </c>
      <c r="BR30" s="211">
        <f t="shared" si="22"/>
        <v>194.76165247314526</v>
      </c>
      <c r="BS30" s="211">
        <f t="shared" si="22"/>
        <v>182.58904919357369</v>
      </c>
      <c r="BT30" s="211">
        <f t="shared" si="22"/>
        <v>170.41644591400211</v>
      </c>
      <c r="BU30" s="211">
        <f t="shared" si="22"/>
        <v>158.24384263443051</v>
      </c>
      <c r="BV30" s="211">
        <f t="shared" si="22"/>
        <v>146.07123935485896</v>
      </c>
      <c r="BW30" s="211">
        <f t="shared" si="22"/>
        <v>133.89863607528738</v>
      </c>
      <c r="BX30" s="211">
        <f t="shared" si="23"/>
        <v>121.72603279571578</v>
      </c>
      <c r="BY30" s="211">
        <f t="shared" si="23"/>
        <v>109.55342951614423</v>
      </c>
      <c r="BZ30" s="211">
        <f t="shared" si="23"/>
        <v>97.380826236572659</v>
      </c>
      <c r="CA30" s="211">
        <f t="shared" si="23"/>
        <v>85.208222957001055</v>
      </c>
      <c r="CB30" s="211">
        <f t="shared" si="23"/>
        <v>73.035619677429509</v>
      </c>
      <c r="CC30" s="211">
        <f t="shared" si="23"/>
        <v>60.863016397857848</v>
      </c>
      <c r="CD30" s="211">
        <f t="shared" si="23"/>
        <v>48.690413118286301</v>
      </c>
      <c r="CE30" s="211">
        <f t="shared" si="23"/>
        <v>36.517809838714754</v>
      </c>
      <c r="CF30" s="211">
        <f t="shared" si="23"/>
        <v>24.345206559143151</v>
      </c>
      <c r="CG30" s="211">
        <f t="shared" si="23"/>
        <v>12.172603279571604</v>
      </c>
      <c r="CH30" s="211">
        <f t="shared" si="24"/>
        <v>0</v>
      </c>
      <c r="CI30" s="211">
        <f t="shared" si="24"/>
        <v>0</v>
      </c>
      <c r="CJ30" s="211">
        <f t="shared" si="24"/>
        <v>0</v>
      </c>
      <c r="CK30" s="211">
        <f t="shared" si="24"/>
        <v>0</v>
      </c>
      <c r="CL30" s="211">
        <f t="shared" si="24"/>
        <v>0</v>
      </c>
      <c r="CM30" s="211">
        <f t="shared" si="24"/>
        <v>0</v>
      </c>
      <c r="CN30" s="211">
        <f t="shared" si="24"/>
        <v>0</v>
      </c>
      <c r="CO30" s="211">
        <f t="shared" si="24"/>
        <v>0</v>
      </c>
      <c r="CP30" s="211">
        <f t="shared" si="24"/>
        <v>0</v>
      </c>
      <c r="CQ30" s="211">
        <f t="shared" si="24"/>
        <v>0</v>
      </c>
      <c r="CR30" s="211">
        <f t="shared" si="25"/>
        <v>0</v>
      </c>
      <c r="CS30" s="211">
        <f t="shared" si="25"/>
        <v>0</v>
      </c>
      <c r="CT30" s="211">
        <f t="shared" si="25"/>
        <v>0</v>
      </c>
      <c r="CU30" s="211">
        <f t="shared" si="25"/>
        <v>0</v>
      </c>
      <c r="CV30" s="211">
        <f t="shared" si="25"/>
        <v>0</v>
      </c>
      <c r="CW30" s="211">
        <f t="shared" si="25"/>
        <v>0</v>
      </c>
      <c r="CX30" s="211">
        <f t="shared" si="25"/>
        <v>0</v>
      </c>
      <c r="CY30" s="211">
        <f t="shared" si="25"/>
        <v>0</v>
      </c>
      <c r="CZ30" s="211">
        <f t="shared" si="25"/>
        <v>0</v>
      </c>
      <c r="DA30" s="211">
        <f t="shared" si="25"/>
        <v>0</v>
      </c>
    </row>
    <row r="31" spans="1:105">
      <c r="A31" s="202" t="str">
        <f>Income!A78</f>
        <v>Labour - casual</v>
      </c>
      <c r="B31" s="204">
        <f>Income!B78</f>
        <v>6054.5357837992951</v>
      </c>
      <c r="C31" s="204">
        <f>Income!C78</f>
        <v>0</v>
      </c>
      <c r="D31" s="204">
        <f>Income!D78</f>
        <v>188712.80365088707</v>
      </c>
      <c r="E31" s="204">
        <f>Income!E78</f>
        <v>352263.90014832257</v>
      </c>
      <c r="F31" s="211">
        <f t="shared" si="16"/>
        <v>6054.5357837992951</v>
      </c>
      <c r="G31" s="211">
        <f t="shared" si="16"/>
        <v>6054.5357837992951</v>
      </c>
      <c r="H31" s="211">
        <f t="shared" si="16"/>
        <v>6054.5357837992951</v>
      </c>
      <c r="I31" s="211">
        <f t="shared" si="16"/>
        <v>6054.5357837992951</v>
      </c>
      <c r="J31" s="211">
        <f t="shared" si="16"/>
        <v>6054.5357837992951</v>
      </c>
      <c r="K31" s="211">
        <f t="shared" si="16"/>
        <v>6054.5357837992951</v>
      </c>
      <c r="L31" s="211">
        <f t="shared" si="16"/>
        <v>6054.5357837992951</v>
      </c>
      <c r="M31" s="211">
        <f t="shared" si="16"/>
        <v>6054.5357837992951</v>
      </c>
      <c r="N31" s="211">
        <f t="shared" si="16"/>
        <v>6054.5357837992951</v>
      </c>
      <c r="O31" s="211">
        <f t="shared" si="16"/>
        <v>6054.5357837992951</v>
      </c>
      <c r="P31" s="211">
        <f t="shared" si="17"/>
        <v>6054.5357837992951</v>
      </c>
      <c r="Q31" s="211">
        <f t="shared" si="17"/>
        <v>6054.5357837992951</v>
      </c>
      <c r="R31" s="211">
        <f t="shared" si="17"/>
        <v>6054.5357837992951</v>
      </c>
      <c r="S31" s="211">
        <f t="shared" si="17"/>
        <v>6054.5357837992951</v>
      </c>
      <c r="T31" s="211">
        <f t="shared" si="17"/>
        <v>6054.5357837992951</v>
      </c>
      <c r="U31" s="211">
        <f t="shared" si="17"/>
        <v>5969.2606319147981</v>
      </c>
      <c r="V31" s="211">
        <f t="shared" si="17"/>
        <v>5798.7103281458039</v>
      </c>
      <c r="W31" s="211">
        <f t="shared" si="17"/>
        <v>5628.1600243768089</v>
      </c>
      <c r="X31" s="211">
        <f t="shared" si="17"/>
        <v>5457.6097206078148</v>
      </c>
      <c r="Y31" s="211">
        <f t="shared" si="17"/>
        <v>5287.0594168388207</v>
      </c>
      <c r="Z31" s="211">
        <f t="shared" si="18"/>
        <v>5116.5091130698265</v>
      </c>
      <c r="AA31" s="211">
        <f t="shared" si="18"/>
        <v>4945.9588093008324</v>
      </c>
      <c r="AB31" s="211">
        <f t="shared" si="18"/>
        <v>4775.4085055318383</v>
      </c>
      <c r="AC31" s="211">
        <f t="shared" si="18"/>
        <v>4604.8582017628441</v>
      </c>
      <c r="AD31" s="211">
        <f t="shared" si="18"/>
        <v>4434.3078979938491</v>
      </c>
      <c r="AE31" s="211">
        <f t="shared" si="18"/>
        <v>4263.757594224855</v>
      </c>
      <c r="AF31" s="211">
        <f t="shared" si="18"/>
        <v>4093.2072904558613</v>
      </c>
      <c r="AG31" s="211">
        <f t="shared" si="18"/>
        <v>3922.6569866868667</v>
      </c>
      <c r="AH31" s="211">
        <f t="shared" si="18"/>
        <v>3752.1066829178726</v>
      </c>
      <c r="AI31" s="211">
        <f t="shared" si="18"/>
        <v>3581.5563791488785</v>
      </c>
      <c r="AJ31" s="211">
        <f t="shared" si="19"/>
        <v>3411.0060753798844</v>
      </c>
      <c r="AK31" s="211">
        <f t="shared" si="19"/>
        <v>3240.4557716108902</v>
      </c>
      <c r="AL31" s="211">
        <f t="shared" si="19"/>
        <v>3069.9054678418961</v>
      </c>
      <c r="AM31" s="211">
        <f t="shared" si="19"/>
        <v>2899.355164072902</v>
      </c>
      <c r="AN31" s="211">
        <f t="shared" si="19"/>
        <v>2728.8048603039078</v>
      </c>
      <c r="AO31" s="211">
        <f t="shared" si="19"/>
        <v>2558.2545565349137</v>
      </c>
      <c r="AP31" s="211">
        <f t="shared" si="19"/>
        <v>2387.7042527659191</v>
      </c>
      <c r="AQ31" s="211">
        <f t="shared" si="19"/>
        <v>2217.153948996925</v>
      </c>
      <c r="AR31" s="211">
        <f t="shared" si="19"/>
        <v>2046.6036452279313</v>
      </c>
      <c r="AS31" s="211">
        <f t="shared" si="19"/>
        <v>1876.0533414589363</v>
      </c>
      <c r="AT31" s="211">
        <f t="shared" si="20"/>
        <v>1705.5030376899422</v>
      </c>
      <c r="AU31" s="211">
        <f t="shared" si="20"/>
        <v>1534.952733920948</v>
      </c>
      <c r="AV31" s="211">
        <f t="shared" si="20"/>
        <v>1364.4024301519539</v>
      </c>
      <c r="AW31" s="211">
        <f t="shared" si="20"/>
        <v>1193.8521263829598</v>
      </c>
      <c r="AX31" s="211">
        <f t="shared" si="20"/>
        <v>1023.3018226139657</v>
      </c>
      <c r="AY31" s="211">
        <f t="shared" si="20"/>
        <v>852.75151884497063</v>
      </c>
      <c r="AZ31" s="211">
        <f t="shared" si="20"/>
        <v>682.20121507597742</v>
      </c>
      <c r="BA31" s="211">
        <f t="shared" si="20"/>
        <v>511.65091130698238</v>
      </c>
      <c r="BB31" s="211">
        <f t="shared" si="20"/>
        <v>341.10060753798916</v>
      </c>
      <c r="BC31" s="211">
        <f t="shared" si="20"/>
        <v>170.55030376899413</v>
      </c>
      <c r="BD31" s="211">
        <f t="shared" si="21"/>
        <v>0</v>
      </c>
      <c r="BE31" s="211">
        <f t="shared" si="21"/>
        <v>6290.4267883629027</v>
      </c>
      <c r="BF31" s="211">
        <f t="shared" si="21"/>
        <v>12580.853576725805</v>
      </c>
      <c r="BG31" s="211">
        <f t="shared" si="21"/>
        <v>18871.280365088707</v>
      </c>
      <c r="BH31" s="211">
        <f t="shared" si="21"/>
        <v>25161.707153451611</v>
      </c>
      <c r="BI31" s="211">
        <f t="shared" si="21"/>
        <v>31452.133941814514</v>
      </c>
      <c r="BJ31" s="211">
        <f t="shared" si="21"/>
        <v>37742.560730177414</v>
      </c>
      <c r="BK31" s="211">
        <f t="shared" si="21"/>
        <v>44032.987518540322</v>
      </c>
      <c r="BL31" s="211">
        <f t="shared" si="21"/>
        <v>50323.414306903222</v>
      </c>
      <c r="BM31" s="211">
        <f t="shared" si="21"/>
        <v>56613.841095266122</v>
      </c>
      <c r="BN31" s="211">
        <f t="shared" si="22"/>
        <v>62904.267883629029</v>
      </c>
      <c r="BO31" s="211">
        <f t="shared" si="22"/>
        <v>69194.694671991921</v>
      </c>
      <c r="BP31" s="211">
        <f t="shared" si="22"/>
        <v>75485.121460354829</v>
      </c>
      <c r="BQ31" s="211">
        <f t="shared" si="22"/>
        <v>81775.548248717736</v>
      </c>
      <c r="BR31" s="211">
        <f t="shared" si="22"/>
        <v>88065.975037080643</v>
      </c>
      <c r="BS31" s="211">
        <f t="shared" si="22"/>
        <v>94356.401825443536</v>
      </c>
      <c r="BT31" s="211">
        <f t="shared" si="22"/>
        <v>100646.82861380644</v>
      </c>
      <c r="BU31" s="211">
        <f t="shared" si="22"/>
        <v>106937.25540216935</v>
      </c>
      <c r="BV31" s="211">
        <f t="shared" si="22"/>
        <v>113227.68219053224</v>
      </c>
      <c r="BW31" s="211">
        <f t="shared" si="22"/>
        <v>119518.10897889515</v>
      </c>
      <c r="BX31" s="211">
        <f t="shared" si="23"/>
        <v>125808.53576725806</v>
      </c>
      <c r="BY31" s="211">
        <f t="shared" si="23"/>
        <v>132098.96255562094</v>
      </c>
      <c r="BZ31" s="211">
        <f t="shared" si="23"/>
        <v>138389.38934398384</v>
      </c>
      <c r="CA31" s="211">
        <f t="shared" si="23"/>
        <v>144679.81613234675</v>
      </c>
      <c r="CB31" s="211">
        <f t="shared" si="23"/>
        <v>150970.24292070966</v>
      </c>
      <c r="CC31" s="211">
        <f t="shared" si="23"/>
        <v>157260.66970907256</v>
      </c>
      <c r="CD31" s="211">
        <f t="shared" si="23"/>
        <v>163551.09649743547</v>
      </c>
      <c r="CE31" s="211">
        <f t="shared" si="23"/>
        <v>169841.52328579835</v>
      </c>
      <c r="CF31" s="211">
        <f t="shared" si="23"/>
        <v>176131.95007416129</v>
      </c>
      <c r="CG31" s="211">
        <f t="shared" si="23"/>
        <v>182422.37686252416</v>
      </c>
      <c r="CH31" s="211">
        <f t="shared" si="24"/>
        <v>188712.80365088707</v>
      </c>
      <c r="CI31" s="211">
        <f t="shared" si="24"/>
        <v>199992.18961622746</v>
      </c>
      <c r="CJ31" s="211">
        <f t="shared" si="24"/>
        <v>211271.57558156783</v>
      </c>
      <c r="CK31" s="211">
        <f t="shared" si="24"/>
        <v>222550.96154690822</v>
      </c>
      <c r="CL31" s="211">
        <f t="shared" si="24"/>
        <v>233830.34751224858</v>
      </c>
      <c r="CM31" s="211">
        <f t="shared" si="24"/>
        <v>245109.73347758898</v>
      </c>
      <c r="CN31" s="211">
        <f t="shared" si="24"/>
        <v>256389.11944292934</v>
      </c>
      <c r="CO31" s="211">
        <f t="shared" si="24"/>
        <v>267668.5054082697</v>
      </c>
      <c r="CP31" s="211">
        <f t="shared" si="24"/>
        <v>278947.89137361012</v>
      </c>
      <c r="CQ31" s="211">
        <f t="shared" si="24"/>
        <v>290227.27733895049</v>
      </c>
      <c r="CR31" s="211">
        <f t="shared" si="25"/>
        <v>301506.66330429085</v>
      </c>
      <c r="CS31" s="211">
        <f t="shared" si="25"/>
        <v>312786.04926963127</v>
      </c>
      <c r="CT31" s="211">
        <f t="shared" si="25"/>
        <v>324065.43523497164</v>
      </c>
      <c r="CU31" s="211">
        <f t="shared" si="25"/>
        <v>335344.821200312</v>
      </c>
      <c r="CV31" s="211">
        <f t="shared" si="25"/>
        <v>346624.20716565236</v>
      </c>
      <c r="CW31" s="211">
        <f t="shared" si="25"/>
        <v>352263.90014832257</v>
      </c>
      <c r="CX31" s="211">
        <f t="shared" si="25"/>
        <v>352263.90014832257</v>
      </c>
      <c r="CY31" s="211">
        <f t="shared" si="25"/>
        <v>352263.90014832257</v>
      </c>
      <c r="CZ31" s="211">
        <f t="shared" si="25"/>
        <v>352263.90014832257</v>
      </c>
      <c r="DA31" s="211">
        <f t="shared" si="25"/>
        <v>352263.90014832257</v>
      </c>
    </row>
    <row r="32" spans="1:105">
      <c r="A32" s="202" t="str">
        <f>Income!A79</f>
        <v>Labour - formal emp</v>
      </c>
      <c r="B32" s="204">
        <f>Income!B79</f>
        <v>5871.0650024720435</v>
      </c>
      <c r="C32" s="204">
        <f>Income!C79</f>
        <v>0</v>
      </c>
      <c r="D32" s="204">
        <f>Income!D79</f>
        <v>0</v>
      </c>
      <c r="E32" s="204">
        <f>Income!E79</f>
        <v>58710.650024720424</v>
      </c>
      <c r="F32" s="211">
        <f t="shared" si="16"/>
        <v>5871.0650024720435</v>
      </c>
      <c r="G32" s="211">
        <f t="shared" si="16"/>
        <v>5871.0650024720435</v>
      </c>
      <c r="H32" s="211">
        <f t="shared" si="16"/>
        <v>5871.0650024720435</v>
      </c>
      <c r="I32" s="211">
        <f t="shared" si="16"/>
        <v>5871.0650024720435</v>
      </c>
      <c r="J32" s="211">
        <f t="shared" si="16"/>
        <v>5871.0650024720435</v>
      </c>
      <c r="K32" s="211">
        <f t="shared" si="16"/>
        <v>5871.0650024720435</v>
      </c>
      <c r="L32" s="211">
        <f t="shared" si="16"/>
        <v>5871.0650024720435</v>
      </c>
      <c r="M32" s="211">
        <f t="shared" si="16"/>
        <v>5871.0650024720435</v>
      </c>
      <c r="N32" s="211">
        <f t="shared" si="16"/>
        <v>5871.0650024720435</v>
      </c>
      <c r="O32" s="211">
        <f t="shared" si="16"/>
        <v>5871.0650024720435</v>
      </c>
      <c r="P32" s="211">
        <f t="shared" si="17"/>
        <v>5871.0650024720435</v>
      </c>
      <c r="Q32" s="211">
        <f t="shared" si="17"/>
        <v>5871.0650024720435</v>
      </c>
      <c r="R32" s="211">
        <f t="shared" si="17"/>
        <v>5871.0650024720435</v>
      </c>
      <c r="S32" s="211">
        <f t="shared" si="17"/>
        <v>5871.0650024720435</v>
      </c>
      <c r="T32" s="211">
        <f t="shared" si="17"/>
        <v>5871.0650024720435</v>
      </c>
      <c r="U32" s="211">
        <f t="shared" si="17"/>
        <v>5788.3739460991974</v>
      </c>
      <c r="V32" s="211">
        <f t="shared" si="17"/>
        <v>5622.9918333535061</v>
      </c>
      <c r="W32" s="211">
        <f t="shared" si="17"/>
        <v>5457.6097206078148</v>
      </c>
      <c r="X32" s="211">
        <f t="shared" si="17"/>
        <v>5292.2276078621235</v>
      </c>
      <c r="Y32" s="211">
        <f t="shared" si="17"/>
        <v>5126.8454951164322</v>
      </c>
      <c r="Z32" s="211">
        <f t="shared" si="18"/>
        <v>4961.4633823707409</v>
      </c>
      <c r="AA32" s="211">
        <f t="shared" si="18"/>
        <v>4796.0812696250496</v>
      </c>
      <c r="AB32" s="211">
        <f t="shared" si="18"/>
        <v>4630.6991568793583</v>
      </c>
      <c r="AC32" s="211">
        <f t="shared" si="18"/>
        <v>4465.3170441336661</v>
      </c>
      <c r="AD32" s="211">
        <f t="shared" si="18"/>
        <v>4299.9349313879757</v>
      </c>
      <c r="AE32" s="211">
        <f t="shared" si="18"/>
        <v>4134.5528186422835</v>
      </c>
      <c r="AF32" s="211">
        <f t="shared" si="18"/>
        <v>3969.1707058965922</v>
      </c>
      <c r="AG32" s="211">
        <f t="shared" si="18"/>
        <v>3803.7885931509013</v>
      </c>
      <c r="AH32" s="211">
        <f t="shared" si="18"/>
        <v>3638.40648040521</v>
      </c>
      <c r="AI32" s="211">
        <f t="shared" si="18"/>
        <v>3473.0243676595182</v>
      </c>
      <c r="AJ32" s="211">
        <f t="shared" si="19"/>
        <v>3307.6422549138269</v>
      </c>
      <c r="AK32" s="211">
        <f t="shared" si="19"/>
        <v>3142.2601421681356</v>
      </c>
      <c r="AL32" s="211">
        <f t="shared" si="19"/>
        <v>2976.8780294224448</v>
      </c>
      <c r="AM32" s="211">
        <f t="shared" si="19"/>
        <v>2811.4959166767535</v>
      </c>
      <c r="AN32" s="211">
        <f t="shared" si="19"/>
        <v>2646.1138039310617</v>
      </c>
      <c r="AO32" s="211">
        <f t="shared" si="19"/>
        <v>2480.7316911853704</v>
      </c>
      <c r="AP32" s="211">
        <f t="shared" si="19"/>
        <v>2315.3495784396791</v>
      </c>
      <c r="AQ32" s="211">
        <f t="shared" si="19"/>
        <v>2149.9674656939883</v>
      </c>
      <c r="AR32" s="211">
        <f t="shared" si="19"/>
        <v>1984.5853529482965</v>
      </c>
      <c r="AS32" s="211">
        <f t="shared" si="19"/>
        <v>1819.2032402026048</v>
      </c>
      <c r="AT32" s="211">
        <f t="shared" si="20"/>
        <v>1653.821127456913</v>
      </c>
      <c r="AU32" s="211">
        <f t="shared" si="20"/>
        <v>1488.4390147112226</v>
      </c>
      <c r="AV32" s="211">
        <f t="shared" si="20"/>
        <v>1323.0569019655304</v>
      </c>
      <c r="AW32" s="211">
        <f t="shared" si="20"/>
        <v>1157.6747892198391</v>
      </c>
      <c r="AX32" s="211">
        <f t="shared" si="20"/>
        <v>992.29267647414872</v>
      </c>
      <c r="AY32" s="211">
        <f t="shared" si="20"/>
        <v>826.91056372845651</v>
      </c>
      <c r="AZ32" s="211">
        <f t="shared" si="20"/>
        <v>661.52845098276521</v>
      </c>
      <c r="BA32" s="211">
        <f t="shared" si="20"/>
        <v>496.14633823707481</v>
      </c>
      <c r="BB32" s="211">
        <f t="shared" si="20"/>
        <v>330.7642254913826</v>
      </c>
      <c r="BC32" s="211">
        <f t="shared" si="20"/>
        <v>165.3821127456913</v>
      </c>
      <c r="BD32" s="211">
        <f t="shared" si="21"/>
        <v>0</v>
      </c>
      <c r="BE32" s="211">
        <f t="shared" si="21"/>
        <v>0</v>
      </c>
      <c r="BF32" s="211">
        <f t="shared" si="21"/>
        <v>0</v>
      </c>
      <c r="BG32" s="211">
        <f t="shared" si="21"/>
        <v>0</v>
      </c>
      <c r="BH32" s="211">
        <f t="shared" si="21"/>
        <v>0</v>
      </c>
      <c r="BI32" s="211">
        <f t="shared" si="21"/>
        <v>0</v>
      </c>
      <c r="BJ32" s="211">
        <f t="shared" si="21"/>
        <v>0</v>
      </c>
      <c r="BK32" s="211">
        <f t="shared" si="21"/>
        <v>0</v>
      </c>
      <c r="BL32" s="211">
        <f t="shared" si="21"/>
        <v>0</v>
      </c>
      <c r="BM32" s="211">
        <f t="shared" si="21"/>
        <v>0</v>
      </c>
      <c r="BN32" s="211">
        <f t="shared" si="22"/>
        <v>0</v>
      </c>
      <c r="BO32" s="211">
        <f t="shared" si="22"/>
        <v>0</v>
      </c>
      <c r="BP32" s="211">
        <f t="shared" si="22"/>
        <v>0</v>
      </c>
      <c r="BQ32" s="211">
        <f t="shared" si="22"/>
        <v>0</v>
      </c>
      <c r="BR32" s="211">
        <f t="shared" si="22"/>
        <v>0</v>
      </c>
      <c r="BS32" s="211">
        <f t="shared" si="22"/>
        <v>0</v>
      </c>
      <c r="BT32" s="211">
        <f t="shared" si="22"/>
        <v>0</v>
      </c>
      <c r="BU32" s="211">
        <f t="shared" si="22"/>
        <v>0</v>
      </c>
      <c r="BV32" s="211">
        <f t="shared" si="22"/>
        <v>0</v>
      </c>
      <c r="BW32" s="211">
        <f t="shared" si="22"/>
        <v>0</v>
      </c>
      <c r="BX32" s="211">
        <f t="shared" si="23"/>
        <v>0</v>
      </c>
      <c r="BY32" s="211">
        <f t="shared" si="23"/>
        <v>0</v>
      </c>
      <c r="BZ32" s="211">
        <f t="shared" si="23"/>
        <v>0</v>
      </c>
      <c r="CA32" s="211">
        <f t="shared" si="23"/>
        <v>0</v>
      </c>
      <c r="CB32" s="211">
        <f t="shared" si="23"/>
        <v>0</v>
      </c>
      <c r="CC32" s="211">
        <f t="shared" si="23"/>
        <v>0</v>
      </c>
      <c r="CD32" s="211">
        <f t="shared" si="23"/>
        <v>0</v>
      </c>
      <c r="CE32" s="211">
        <f t="shared" si="23"/>
        <v>0</v>
      </c>
      <c r="CF32" s="211">
        <f t="shared" si="23"/>
        <v>0</v>
      </c>
      <c r="CG32" s="211">
        <f t="shared" si="23"/>
        <v>0</v>
      </c>
      <c r="CH32" s="211">
        <f t="shared" si="24"/>
        <v>0</v>
      </c>
      <c r="CI32" s="211">
        <f t="shared" si="24"/>
        <v>4049.0103465324432</v>
      </c>
      <c r="CJ32" s="211">
        <f t="shared" si="24"/>
        <v>8098.0206930648865</v>
      </c>
      <c r="CK32" s="211">
        <f t="shared" si="24"/>
        <v>12147.03103959733</v>
      </c>
      <c r="CL32" s="211">
        <f t="shared" si="24"/>
        <v>16196.041386129773</v>
      </c>
      <c r="CM32" s="211">
        <f t="shared" si="24"/>
        <v>20245.051732662214</v>
      </c>
      <c r="CN32" s="211">
        <f t="shared" si="24"/>
        <v>24294.06207919466</v>
      </c>
      <c r="CO32" s="211">
        <f t="shared" si="24"/>
        <v>28343.072425727103</v>
      </c>
      <c r="CP32" s="211">
        <f t="shared" si="24"/>
        <v>32392.082772259546</v>
      </c>
      <c r="CQ32" s="211">
        <f t="shared" si="24"/>
        <v>36441.093118791992</v>
      </c>
      <c r="CR32" s="211">
        <f t="shared" si="25"/>
        <v>40490.103465324428</v>
      </c>
      <c r="CS32" s="211">
        <f t="shared" si="25"/>
        <v>44539.113811856878</v>
      </c>
      <c r="CT32" s="211">
        <f t="shared" si="25"/>
        <v>48588.124158389321</v>
      </c>
      <c r="CU32" s="211">
        <f t="shared" si="25"/>
        <v>52637.134504921756</v>
      </c>
      <c r="CV32" s="211">
        <f t="shared" si="25"/>
        <v>56686.144851454206</v>
      </c>
      <c r="CW32" s="211">
        <f t="shared" si="25"/>
        <v>58710.650024720424</v>
      </c>
      <c r="CX32" s="211">
        <f t="shared" si="25"/>
        <v>58710.650024720424</v>
      </c>
      <c r="CY32" s="211">
        <f t="shared" si="25"/>
        <v>58710.650024720424</v>
      </c>
      <c r="CZ32" s="211">
        <f t="shared" si="25"/>
        <v>58710.650024720424</v>
      </c>
      <c r="DA32" s="211">
        <f t="shared" si="25"/>
        <v>58710.650024720424</v>
      </c>
    </row>
    <row r="33" spans="1:105">
      <c r="A33" s="202" t="str">
        <f>Income!A81</f>
        <v>Self - employment</v>
      </c>
      <c r="B33" s="204">
        <f>Income!B81</f>
        <v>0</v>
      </c>
      <c r="C33" s="204">
        <f>Income!C81</f>
        <v>0</v>
      </c>
      <c r="D33" s="204">
        <f>Income!D81</f>
        <v>0</v>
      </c>
      <c r="E33" s="204">
        <f>Income!E81</f>
        <v>0</v>
      </c>
      <c r="F33" s="211">
        <f t="shared" si="16"/>
        <v>0</v>
      </c>
      <c r="G33" s="211">
        <f t="shared" si="16"/>
        <v>0</v>
      </c>
      <c r="H33" s="211">
        <f t="shared" si="16"/>
        <v>0</v>
      </c>
      <c r="I33" s="211">
        <f t="shared" si="16"/>
        <v>0</v>
      </c>
      <c r="J33" s="211">
        <f t="shared" si="16"/>
        <v>0</v>
      </c>
      <c r="K33" s="211">
        <f t="shared" si="16"/>
        <v>0</v>
      </c>
      <c r="L33" s="211">
        <f t="shared" si="16"/>
        <v>0</v>
      </c>
      <c r="M33" s="211">
        <f t="shared" si="16"/>
        <v>0</v>
      </c>
      <c r="N33" s="211">
        <f t="shared" si="16"/>
        <v>0</v>
      </c>
      <c r="O33" s="211">
        <f t="shared" si="16"/>
        <v>0</v>
      </c>
      <c r="P33" s="211">
        <f t="shared" si="17"/>
        <v>0</v>
      </c>
      <c r="Q33" s="211">
        <f t="shared" si="17"/>
        <v>0</v>
      </c>
      <c r="R33" s="211">
        <f t="shared" si="17"/>
        <v>0</v>
      </c>
      <c r="S33" s="211">
        <f t="shared" si="17"/>
        <v>0</v>
      </c>
      <c r="T33" s="211">
        <f t="shared" si="17"/>
        <v>0</v>
      </c>
      <c r="U33" s="211">
        <f t="shared" si="17"/>
        <v>0</v>
      </c>
      <c r="V33" s="211">
        <f t="shared" si="17"/>
        <v>0</v>
      </c>
      <c r="W33" s="211">
        <f t="shared" si="17"/>
        <v>0</v>
      </c>
      <c r="X33" s="211">
        <f t="shared" si="17"/>
        <v>0</v>
      </c>
      <c r="Y33" s="211">
        <f t="shared" si="17"/>
        <v>0</v>
      </c>
      <c r="Z33" s="211">
        <f t="shared" si="18"/>
        <v>0</v>
      </c>
      <c r="AA33" s="211">
        <f t="shared" si="18"/>
        <v>0</v>
      </c>
      <c r="AB33" s="211">
        <f t="shared" si="18"/>
        <v>0</v>
      </c>
      <c r="AC33" s="211">
        <f t="shared" si="18"/>
        <v>0</v>
      </c>
      <c r="AD33" s="211">
        <f t="shared" si="18"/>
        <v>0</v>
      </c>
      <c r="AE33" s="211">
        <f t="shared" si="18"/>
        <v>0</v>
      </c>
      <c r="AF33" s="211">
        <f t="shared" si="18"/>
        <v>0</v>
      </c>
      <c r="AG33" s="211">
        <f t="shared" si="18"/>
        <v>0</v>
      </c>
      <c r="AH33" s="211">
        <f t="shared" si="18"/>
        <v>0</v>
      </c>
      <c r="AI33" s="211">
        <f t="shared" si="18"/>
        <v>0</v>
      </c>
      <c r="AJ33" s="211">
        <f t="shared" si="19"/>
        <v>0</v>
      </c>
      <c r="AK33" s="211">
        <f t="shared" si="19"/>
        <v>0</v>
      </c>
      <c r="AL33" s="211">
        <f t="shared" si="19"/>
        <v>0</v>
      </c>
      <c r="AM33" s="211">
        <f t="shared" si="19"/>
        <v>0</v>
      </c>
      <c r="AN33" s="211">
        <f t="shared" si="19"/>
        <v>0</v>
      </c>
      <c r="AO33" s="211">
        <f t="shared" si="19"/>
        <v>0</v>
      </c>
      <c r="AP33" s="211">
        <f t="shared" si="19"/>
        <v>0</v>
      </c>
      <c r="AQ33" s="211">
        <f t="shared" si="19"/>
        <v>0</v>
      </c>
      <c r="AR33" s="211">
        <f t="shared" si="19"/>
        <v>0</v>
      </c>
      <c r="AS33" s="211">
        <f t="shared" si="19"/>
        <v>0</v>
      </c>
      <c r="AT33" s="211">
        <f t="shared" si="20"/>
        <v>0</v>
      </c>
      <c r="AU33" s="211">
        <f t="shared" si="20"/>
        <v>0</v>
      </c>
      <c r="AV33" s="211">
        <f t="shared" si="20"/>
        <v>0</v>
      </c>
      <c r="AW33" s="211">
        <f t="shared" si="20"/>
        <v>0</v>
      </c>
      <c r="AX33" s="211">
        <f t="shared" si="20"/>
        <v>0</v>
      </c>
      <c r="AY33" s="211">
        <f t="shared" si="20"/>
        <v>0</v>
      </c>
      <c r="AZ33" s="211">
        <f t="shared" si="20"/>
        <v>0</v>
      </c>
      <c r="BA33" s="211">
        <f t="shared" si="20"/>
        <v>0</v>
      </c>
      <c r="BB33" s="211">
        <f t="shared" si="20"/>
        <v>0</v>
      </c>
      <c r="BC33" s="211">
        <f t="shared" si="20"/>
        <v>0</v>
      </c>
      <c r="BD33" s="211">
        <f t="shared" si="21"/>
        <v>0</v>
      </c>
      <c r="BE33" s="211">
        <f t="shared" si="21"/>
        <v>0</v>
      </c>
      <c r="BF33" s="211">
        <f t="shared" si="21"/>
        <v>0</v>
      </c>
      <c r="BG33" s="211">
        <f t="shared" si="21"/>
        <v>0</v>
      </c>
      <c r="BH33" s="211">
        <f t="shared" si="21"/>
        <v>0</v>
      </c>
      <c r="BI33" s="211">
        <f t="shared" si="21"/>
        <v>0</v>
      </c>
      <c r="BJ33" s="211">
        <f t="shared" si="21"/>
        <v>0</v>
      </c>
      <c r="BK33" s="211">
        <f t="shared" si="21"/>
        <v>0</v>
      </c>
      <c r="BL33" s="211">
        <f t="shared" si="21"/>
        <v>0</v>
      </c>
      <c r="BM33" s="211">
        <f t="shared" si="21"/>
        <v>0</v>
      </c>
      <c r="BN33" s="211">
        <f t="shared" si="22"/>
        <v>0</v>
      </c>
      <c r="BO33" s="211">
        <f t="shared" si="22"/>
        <v>0</v>
      </c>
      <c r="BP33" s="211">
        <f t="shared" si="22"/>
        <v>0</v>
      </c>
      <c r="BQ33" s="211">
        <f t="shared" si="22"/>
        <v>0</v>
      </c>
      <c r="BR33" s="211">
        <f t="shared" si="22"/>
        <v>0</v>
      </c>
      <c r="BS33" s="211">
        <f t="shared" si="22"/>
        <v>0</v>
      </c>
      <c r="BT33" s="211">
        <f t="shared" si="22"/>
        <v>0</v>
      </c>
      <c r="BU33" s="211">
        <f t="shared" si="22"/>
        <v>0</v>
      </c>
      <c r="BV33" s="211">
        <f t="shared" si="22"/>
        <v>0</v>
      </c>
      <c r="BW33" s="211">
        <f t="shared" si="22"/>
        <v>0</v>
      </c>
      <c r="BX33" s="211">
        <f t="shared" si="23"/>
        <v>0</v>
      </c>
      <c r="BY33" s="211">
        <f t="shared" si="23"/>
        <v>0</v>
      </c>
      <c r="BZ33" s="211">
        <f t="shared" si="23"/>
        <v>0</v>
      </c>
      <c r="CA33" s="211">
        <f t="shared" si="23"/>
        <v>0</v>
      </c>
      <c r="CB33" s="211">
        <f t="shared" si="23"/>
        <v>0</v>
      </c>
      <c r="CC33" s="211">
        <f t="shared" si="23"/>
        <v>0</v>
      </c>
      <c r="CD33" s="211">
        <f t="shared" si="23"/>
        <v>0</v>
      </c>
      <c r="CE33" s="211">
        <f t="shared" si="23"/>
        <v>0</v>
      </c>
      <c r="CF33" s="211">
        <f t="shared" si="23"/>
        <v>0</v>
      </c>
      <c r="CG33" s="211">
        <f t="shared" si="23"/>
        <v>0</v>
      </c>
      <c r="CH33" s="211">
        <f t="shared" si="24"/>
        <v>0</v>
      </c>
      <c r="CI33" s="211">
        <f t="shared" si="24"/>
        <v>0</v>
      </c>
      <c r="CJ33" s="211">
        <f t="shared" si="24"/>
        <v>0</v>
      </c>
      <c r="CK33" s="211">
        <f t="shared" si="24"/>
        <v>0</v>
      </c>
      <c r="CL33" s="211">
        <f t="shared" si="24"/>
        <v>0</v>
      </c>
      <c r="CM33" s="211">
        <f t="shared" si="24"/>
        <v>0</v>
      </c>
      <c r="CN33" s="211">
        <f t="shared" si="24"/>
        <v>0</v>
      </c>
      <c r="CO33" s="211">
        <f t="shared" si="24"/>
        <v>0</v>
      </c>
      <c r="CP33" s="211">
        <f t="shared" si="24"/>
        <v>0</v>
      </c>
      <c r="CQ33" s="211">
        <f t="shared" si="24"/>
        <v>0</v>
      </c>
      <c r="CR33" s="211">
        <f t="shared" si="25"/>
        <v>0</v>
      </c>
      <c r="CS33" s="211">
        <f t="shared" si="25"/>
        <v>0</v>
      </c>
      <c r="CT33" s="211">
        <f t="shared" si="25"/>
        <v>0</v>
      </c>
      <c r="CU33" s="211">
        <f t="shared" si="25"/>
        <v>0</v>
      </c>
      <c r="CV33" s="211">
        <f t="shared" si="25"/>
        <v>0</v>
      </c>
      <c r="CW33" s="211">
        <f t="shared" si="25"/>
        <v>0</v>
      </c>
      <c r="CX33" s="211">
        <f t="shared" si="25"/>
        <v>0</v>
      </c>
      <c r="CY33" s="211">
        <f t="shared" si="25"/>
        <v>0</v>
      </c>
      <c r="CZ33" s="211">
        <f t="shared" si="25"/>
        <v>0</v>
      </c>
      <c r="DA33" s="211">
        <f t="shared" si="25"/>
        <v>0</v>
      </c>
    </row>
    <row r="34" spans="1:105">
      <c r="A34" s="202" t="str">
        <f>Income!A82</f>
        <v>Small business/petty trading</v>
      </c>
      <c r="B34" s="204">
        <f>Income!B82</f>
        <v>24218.143135197181</v>
      </c>
      <c r="C34" s="204">
        <f>Income!C82</f>
        <v>49904.052521012367</v>
      </c>
      <c r="D34" s="204">
        <f>Income!D82</f>
        <v>14677.662506180106</v>
      </c>
      <c r="E34" s="204">
        <f>Income!E82</f>
        <v>20548.727508652148</v>
      </c>
      <c r="F34" s="211">
        <f t="shared" si="16"/>
        <v>24218.143135197181</v>
      </c>
      <c r="G34" s="211">
        <f t="shared" si="16"/>
        <v>24218.143135197181</v>
      </c>
      <c r="H34" s="211">
        <f t="shared" si="16"/>
        <v>24218.143135197181</v>
      </c>
      <c r="I34" s="211">
        <f t="shared" si="16"/>
        <v>24218.143135197181</v>
      </c>
      <c r="J34" s="211">
        <f t="shared" si="16"/>
        <v>24218.143135197181</v>
      </c>
      <c r="K34" s="211">
        <f t="shared" si="16"/>
        <v>24218.143135197181</v>
      </c>
      <c r="L34" s="211">
        <f t="shared" si="16"/>
        <v>24218.143135197181</v>
      </c>
      <c r="M34" s="211">
        <f t="shared" si="16"/>
        <v>24218.143135197181</v>
      </c>
      <c r="N34" s="211">
        <f t="shared" si="16"/>
        <v>24218.143135197181</v>
      </c>
      <c r="O34" s="211">
        <f t="shared" si="16"/>
        <v>24218.143135197181</v>
      </c>
      <c r="P34" s="211">
        <f t="shared" si="17"/>
        <v>24218.143135197181</v>
      </c>
      <c r="Q34" s="211">
        <f t="shared" si="17"/>
        <v>24218.143135197181</v>
      </c>
      <c r="R34" s="211">
        <f t="shared" si="17"/>
        <v>24218.143135197181</v>
      </c>
      <c r="S34" s="211">
        <f t="shared" si="17"/>
        <v>24218.143135197181</v>
      </c>
      <c r="T34" s="211">
        <f t="shared" si="17"/>
        <v>24218.143135197181</v>
      </c>
      <c r="U34" s="211">
        <f t="shared" si="17"/>
        <v>24579.91650682838</v>
      </c>
      <c r="V34" s="211">
        <f t="shared" si="17"/>
        <v>25303.463250090783</v>
      </c>
      <c r="W34" s="211">
        <f t="shared" si="17"/>
        <v>26027.009993353182</v>
      </c>
      <c r="X34" s="211">
        <f t="shared" si="17"/>
        <v>26750.556736615581</v>
      </c>
      <c r="Y34" s="211">
        <f t="shared" si="17"/>
        <v>27474.10347987798</v>
      </c>
      <c r="Z34" s="211">
        <f t="shared" si="18"/>
        <v>28197.650223140379</v>
      </c>
      <c r="AA34" s="211">
        <f t="shared" si="18"/>
        <v>28921.196966402778</v>
      </c>
      <c r="AB34" s="211">
        <f t="shared" si="18"/>
        <v>29644.743709665177</v>
      </c>
      <c r="AC34" s="211">
        <f t="shared" si="18"/>
        <v>30368.290452927577</v>
      </c>
      <c r="AD34" s="211">
        <f t="shared" si="18"/>
        <v>31091.837196189979</v>
      </c>
      <c r="AE34" s="211">
        <f t="shared" si="18"/>
        <v>31815.383939452378</v>
      </c>
      <c r="AF34" s="211">
        <f t="shared" si="18"/>
        <v>32538.930682714778</v>
      </c>
      <c r="AG34" s="211">
        <f t="shared" si="18"/>
        <v>33262.47742597718</v>
      </c>
      <c r="AH34" s="211">
        <f t="shared" si="18"/>
        <v>33986.024169239579</v>
      </c>
      <c r="AI34" s="211">
        <f t="shared" si="18"/>
        <v>34709.570912501978</v>
      </c>
      <c r="AJ34" s="211">
        <f t="shared" si="19"/>
        <v>35433.117655764378</v>
      </c>
      <c r="AK34" s="211">
        <f t="shared" si="19"/>
        <v>36156.664399026777</v>
      </c>
      <c r="AL34" s="211">
        <f t="shared" si="19"/>
        <v>36880.211142289176</v>
      </c>
      <c r="AM34" s="211">
        <f t="shared" si="19"/>
        <v>37603.757885551575</v>
      </c>
      <c r="AN34" s="211">
        <f t="shared" si="19"/>
        <v>38327.304628813974</v>
      </c>
      <c r="AO34" s="211">
        <f t="shared" si="19"/>
        <v>39050.851372076373</v>
      </c>
      <c r="AP34" s="211">
        <f t="shared" si="19"/>
        <v>39774.398115338772</v>
      </c>
      <c r="AQ34" s="211">
        <f t="shared" si="19"/>
        <v>40497.944858601171</v>
      </c>
      <c r="AR34" s="211">
        <f t="shared" si="19"/>
        <v>41221.49160186357</v>
      </c>
      <c r="AS34" s="211">
        <f t="shared" si="19"/>
        <v>41945.038345125969</v>
      </c>
      <c r="AT34" s="211">
        <f t="shared" si="20"/>
        <v>42668.585088388369</v>
      </c>
      <c r="AU34" s="211">
        <f t="shared" si="20"/>
        <v>43392.131831650768</v>
      </c>
      <c r="AV34" s="211">
        <f t="shared" si="20"/>
        <v>44115.678574913167</v>
      </c>
      <c r="AW34" s="211">
        <f t="shared" si="20"/>
        <v>44839.225318175566</v>
      </c>
      <c r="AX34" s="211">
        <f t="shared" si="20"/>
        <v>45562.772061437965</v>
      </c>
      <c r="AY34" s="211">
        <f t="shared" si="20"/>
        <v>46286.318804700364</v>
      </c>
      <c r="AZ34" s="211">
        <f t="shared" si="20"/>
        <v>47009.865547962763</v>
      </c>
      <c r="BA34" s="211">
        <f t="shared" si="20"/>
        <v>47733.41229122517</v>
      </c>
      <c r="BB34" s="211">
        <f t="shared" si="20"/>
        <v>48456.959034487569</v>
      </c>
      <c r="BC34" s="211">
        <f t="shared" si="20"/>
        <v>49180.505777749968</v>
      </c>
      <c r="BD34" s="211">
        <f t="shared" si="21"/>
        <v>49904.052521012367</v>
      </c>
      <c r="BE34" s="211">
        <f t="shared" si="21"/>
        <v>48729.839520517955</v>
      </c>
      <c r="BF34" s="211">
        <f t="shared" si="21"/>
        <v>47555.62652002355</v>
      </c>
      <c r="BG34" s="211">
        <f t="shared" si="21"/>
        <v>46381.413519529138</v>
      </c>
      <c r="BH34" s="211">
        <f t="shared" si="21"/>
        <v>45207.200519034734</v>
      </c>
      <c r="BI34" s="211">
        <f t="shared" si="21"/>
        <v>44032.987518540322</v>
      </c>
      <c r="BJ34" s="211">
        <f t="shared" si="21"/>
        <v>42858.774518045917</v>
      </c>
      <c r="BK34" s="211">
        <f t="shared" si="21"/>
        <v>41684.561517551505</v>
      </c>
      <c r="BL34" s="211">
        <f t="shared" si="21"/>
        <v>40510.3485170571</v>
      </c>
      <c r="BM34" s="211">
        <f t="shared" si="21"/>
        <v>39336.135516562688</v>
      </c>
      <c r="BN34" s="211">
        <f t="shared" si="22"/>
        <v>38161.922516068284</v>
      </c>
      <c r="BO34" s="211">
        <f t="shared" si="22"/>
        <v>36987.709515573872</v>
      </c>
      <c r="BP34" s="211">
        <f t="shared" si="22"/>
        <v>35813.49651507946</v>
      </c>
      <c r="BQ34" s="211">
        <f t="shared" si="22"/>
        <v>34639.283514585055</v>
      </c>
      <c r="BR34" s="211">
        <f t="shared" si="22"/>
        <v>33465.07051409065</v>
      </c>
      <c r="BS34" s="211">
        <f t="shared" si="22"/>
        <v>32290.857513596238</v>
      </c>
      <c r="BT34" s="211">
        <f t="shared" si="22"/>
        <v>31116.64451310183</v>
      </c>
      <c r="BU34" s="211">
        <f t="shared" si="22"/>
        <v>29942.431512607422</v>
      </c>
      <c r="BV34" s="211">
        <f t="shared" si="22"/>
        <v>28768.218512113013</v>
      </c>
      <c r="BW34" s="211">
        <f t="shared" si="22"/>
        <v>27594.005511618605</v>
      </c>
      <c r="BX34" s="211">
        <f t="shared" si="23"/>
        <v>26419.792511124197</v>
      </c>
      <c r="BY34" s="211">
        <f t="shared" si="23"/>
        <v>25245.579510629788</v>
      </c>
      <c r="BZ34" s="211">
        <f t="shared" si="23"/>
        <v>24071.36651013538</v>
      </c>
      <c r="CA34" s="211">
        <f t="shared" si="23"/>
        <v>22897.153509640968</v>
      </c>
      <c r="CB34" s="211">
        <f t="shared" si="23"/>
        <v>21722.94050914656</v>
      </c>
      <c r="CC34" s="211">
        <f t="shared" si="23"/>
        <v>20548.727508652151</v>
      </c>
      <c r="CD34" s="211">
        <f t="shared" si="23"/>
        <v>19374.514508157743</v>
      </c>
      <c r="CE34" s="211">
        <f t="shared" si="23"/>
        <v>18200.301507663335</v>
      </c>
      <c r="CF34" s="211">
        <f t="shared" si="23"/>
        <v>17026.088507168926</v>
      </c>
      <c r="CG34" s="211">
        <f t="shared" si="23"/>
        <v>15851.875506674522</v>
      </c>
      <c r="CH34" s="211">
        <f t="shared" si="24"/>
        <v>14677.66250618011</v>
      </c>
      <c r="CI34" s="211">
        <f t="shared" si="24"/>
        <v>15082.563540833351</v>
      </c>
      <c r="CJ34" s="211">
        <f t="shared" si="24"/>
        <v>15487.464575486594</v>
      </c>
      <c r="CK34" s="211">
        <f t="shared" si="24"/>
        <v>15892.365610139839</v>
      </c>
      <c r="CL34" s="211">
        <f t="shared" si="24"/>
        <v>16297.266644793082</v>
      </c>
      <c r="CM34" s="211">
        <f t="shared" si="24"/>
        <v>16702.167679446327</v>
      </c>
      <c r="CN34" s="211">
        <f t="shared" si="24"/>
        <v>17107.068714099572</v>
      </c>
      <c r="CO34" s="211">
        <f t="shared" si="24"/>
        <v>17511.969748752817</v>
      </c>
      <c r="CP34" s="211">
        <f t="shared" si="24"/>
        <v>17916.870783406059</v>
      </c>
      <c r="CQ34" s="211">
        <f t="shared" si="24"/>
        <v>18321.771818059304</v>
      </c>
      <c r="CR34" s="211">
        <f t="shared" si="25"/>
        <v>18726.672852712549</v>
      </c>
      <c r="CS34" s="211">
        <f t="shared" si="25"/>
        <v>19131.573887365794</v>
      </c>
      <c r="CT34" s="211">
        <f t="shared" si="25"/>
        <v>19536.474922019035</v>
      </c>
      <c r="CU34" s="211">
        <f t="shared" si="25"/>
        <v>19941.37595667228</v>
      </c>
      <c r="CV34" s="211">
        <f t="shared" si="25"/>
        <v>20346.276991325525</v>
      </c>
      <c r="CW34" s="211">
        <f t="shared" si="25"/>
        <v>20548.727508652148</v>
      </c>
      <c r="CX34" s="211">
        <f t="shared" si="25"/>
        <v>20548.727508652148</v>
      </c>
      <c r="CY34" s="211">
        <f t="shared" si="25"/>
        <v>20548.727508652148</v>
      </c>
      <c r="CZ34" s="211">
        <f t="shared" si="25"/>
        <v>20548.727508652148</v>
      </c>
      <c r="DA34" s="211">
        <f t="shared" si="25"/>
        <v>20548.727508652148</v>
      </c>
    </row>
    <row r="35" spans="1:105">
      <c r="A35" s="202" t="str">
        <f>Income!A83</f>
        <v>Food transfer - official</v>
      </c>
      <c r="B35" s="204">
        <f>Income!B83</f>
        <v>5743.6065157120338</v>
      </c>
      <c r="C35" s="204">
        <f>Income!C83</f>
        <v>6022.8523753089175</v>
      </c>
      <c r="D35" s="204">
        <f>Income!D83</f>
        <v>4832.0335671375506</v>
      </c>
      <c r="E35" s="204">
        <f>Income!E83</f>
        <v>1504.8728208852517</v>
      </c>
      <c r="F35" s="211">
        <f t="shared" si="16"/>
        <v>5743.6065157120338</v>
      </c>
      <c r="G35" s="211">
        <f t="shared" si="16"/>
        <v>5743.6065157120338</v>
      </c>
      <c r="H35" s="211">
        <f t="shared" si="16"/>
        <v>5743.6065157120338</v>
      </c>
      <c r="I35" s="211">
        <f t="shared" si="16"/>
        <v>5743.6065157120338</v>
      </c>
      <c r="J35" s="211">
        <f t="shared" si="16"/>
        <v>5743.6065157120338</v>
      </c>
      <c r="K35" s="211">
        <f t="shared" si="16"/>
        <v>5743.6065157120338</v>
      </c>
      <c r="L35" s="211">
        <f t="shared" si="16"/>
        <v>5743.6065157120338</v>
      </c>
      <c r="M35" s="211">
        <f t="shared" si="16"/>
        <v>5743.6065157120338</v>
      </c>
      <c r="N35" s="211">
        <f t="shared" si="16"/>
        <v>5743.6065157120338</v>
      </c>
      <c r="O35" s="211">
        <f t="shared" si="16"/>
        <v>5743.6065157120338</v>
      </c>
      <c r="P35" s="211">
        <f t="shared" si="17"/>
        <v>5743.6065157120338</v>
      </c>
      <c r="Q35" s="211">
        <f t="shared" si="17"/>
        <v>5743.6065157120338</v>
      </c>
      <c r="R35" s="211">
        <f t="shared" si="17"/>
        <v>5743.6065157120338</v>
      </c>
      <c r="S35" s="211">
        <f t="shared" si="17"/>
        <v>5743.6065157120338</v>
      </c>
      <c r="T35" s="211">
        <f t="shared" si="17"/>
        <v>5743.6065157120338</v>
      </c>
      <c r="U35" s="211">
        <f t="shared" si="17"/>
        <v>5747.5395559880462</v>
      </c>
      <c r="V35" s="211">
        <f t="shared" si="17"/>
        <v>5755.4056365400711</v>
      </c>
      <c r="W35" s="211">
        <f t="shared" si="17"/>
        <v>5763.271717092096</v>
      </c>
      <c r="X35" s="211">
        <f t="shared" si="17"/>
        <v>5771.1377976441208</v>
      </c>
      <c r="Y35" s="211">
        <f t="shared" si="17"/>
        <v>5779.0038781961457</v>
      </c>
      <c r="Z35" s="211">
        <f t="shared" si="18"/>
        <v>5786.8699587481706</v>
      </c>
      <c r="AA35" s="211">
        <f t="shared" si="18"/>
        <v>5794.7360393001954</v>
      </c>
      <c r="AB35" s="211">
        <f t="shared" si="18"/>
        <v>5802.6021198522203</v>
      </c>
      <c r="AC35" s="211">
        <f t="shared" si="18"/>
        <v>5810.4682004042452</v>
      </c>
      <c r="AD35" s="211">
        <f t="shared" si="18"/>
        <v>5818.33428095627</v>
      </c>
      <c r="AE35" s="211">
        <f t="shared" si="18"/>
        <v>5826.2003615082949</v>
      </c>
      <c r="AF35" s="211">
        <f t="shared" si="18"/>
        <v>5834.0664420603198</v>
      </c>
      <c r="AG35" s="211">
        <f t="shared" si="18"/>
        <v>5841.9325226123447</v>
      </c>
      <c r="AH35" s="211">
        <f t="shared" si="18"/>
        <v>5849.7986031643695</v>
      </c>
      <c r="AI35" s="211">
        <f t="shared" si="18"/>
        <v>5857.6646837163944</v>
      </c>
      <c r="AJ35" s="211">
        <f t="shared" si="19"/>
        <v>5865.5307642684193</v>
      </c>
      <c r="AK35" s="211">
        <f t="shared" si="19"/>
        <v>5873.3968448204441</v>
      </c>
      <c r="AL35" s="211">
        <f t="shared" si="19"/>
        <v>5881.2629253724699</v>
      </c>
      <c r="AM35" s="211">
        <f t="shared" si="19"/>
        <v>5889.1290059244948</v>
      </c>
      <c r="AN35" s="211">
        <f t="shared" si="19"/>
        <v>5896.9950864765196</v>
      </c>
      <c r="AO35" s="211">
        <f t="shared" si="19"/>
        <v>5904.8611670285445</v>
      </c>
      <c r="AP35" s="211">
        <f t="shared" si="19"/>
        <v>5912.7272475805694</v>
      </c>
      <c r="AQ35" s="211">
        <f t="shared" si="19"/>
        <v>5920.5933281325943</v>
      </c>
      <c r="AR35" s="211">
        <f t="shared" si="19"/>
        <v>5928.4594086846191</v>
      </c>
      <c r="AS35" s="211">
        <f t="shared" si="19"/>
        <v>5936.325489236644</v>
      </c>
      <c r="AT35" s="211">
        <f t="shared" si="20"/>
        <v>5944.1915697886689</v>
      </c>
      <c r="AU35" s="211">
        <f t="shared" si="20"/>
        <v>5952.0576503406937</v>
      </c>
      <c r="AV35" s="211">
        <f t="shared" si="20"/>
        <v>5959.9237308927186</v>
      </c>
      <c r="AW35" s="211">
        <f t="shared" si="20"/>
        <v>5967.7898114447435</v>
      </c>
      <c r="AX35" s="211">
        <f t="shared" si="20"/>
        <v>5975.6558919967683</v>
      </c>
      <c r="AY35" s="211">
        <f t="shared" si="20"/>
        <v>5983.5219725487932</v>
      </c>
      <c r="AZ35" s="211">
        <f t="shared" si="20"/>
        <v>5991.3880531008181</v>
      </c>
      <c r="BA35" s="211">
        <f t="shared" si="20"/>
        <v>5999.2541336528429</v>
      </c>
      <c r="BB35" s="211">
        <f t="shared" si="20"/>
        <v>6007.1202142048678</v>
      </c>
      <c r="BC35" s="211">
        <f t="shared" si="20"/>
        <v>6014.9862947568927</v>
      </c>
      <c r="BD35" s="211">
        <f t="shared" si="21"/>
        <v>6022.8523753089175</v>
      </c>
      <c r="BE35" s="211">
        <f t="shared" si="21"/>
        <v>5983.1584150365388</v>
      </c>
      <c r="BF35" s="211">
        <f t="shared" si="21"/>
        <v>5943.4644547641601</v>
      </c>
      <c r="BG35" s="211">
        <f t="shared" si="21"/>
        <v>5903.7704944917805</v>
      </c>
      <c r="BH35" s="211">
        <f t="shared" si="21"/>
        <v>5864.0765342194018</v>
      </c>
      <c r="BI35" s="211">
        <f t="shared" si="21"/>
        <v>5824.382573947023</v>
      </c>
      <c r="BJ35" s="211">
        <f t="shared" si="21"/>
        <v>5784.6886136746443</v>
      </c>
      <c r="BK35" s="211">
        <f t="shared" si="21"/>
        <v>5744.9946534022656</v>
      </c>
      <c r="BL35" s="211">
        <f t="shared" si="21"/>
        <v>5705.300693129886</v>
      </c>
      <c r="BM35" s="211">
        <f t="shared" si="21"/>
        <v>5665.6067328575073</v>
      </c>
      <c r="BN35" s="211">
        <f t="shared" si="22"/>
        <v>5625.9127725851286</v>
      </c>
      <c r="BO35" s="211">
        <f t="shared" si="22"/>
        <v>5586.2188123127498</v>
      </c>
      <c r="BP35" s="211">
        <f t="shared" si="22"/>
        <v>5546.5248520403711</v>
      </c>
      <c r="BQ35" s="211">
        <f t="shared" si="22"/>
        <v>5506.8308917679915</v>
      </c>
      <c r="BR35" s="211">
        <f t="shared" si="22"/>
        <v>5467.1369314956128</v>
      </c>
      <c r="BS35" s="211">
        <f t="shared" si="22"/>
        <v>5427.4429712232341</v>
      </c>
      <c r="BT35" s="211">
        <f t="shared" si="22"/>
        <v>5387.7490109508553</v>
      </c>
      <c r="BU35" s="211">
        <f t="shared" si="22"/>
        <v>5348.0550506784766</v>
      </c>
      <c r="BV35" s="211">
        <f t="shared" si="22"/>
        <v>5308.361090406097</v>
      </c>
      <c r="BW35" s="211">
        <f t="shared" si="22"/>
        <v>5268.6671301337183</v>
      </c>
      <c r="BX35" s="211">
        <f t="shared" si="23"/>
        <v>5228.9731698613396</v>
      </c>
      <c r="BY35" s="211">
        <f t="shared" si="23"/>
        <v>5189.2792095889608</v>
      </c>
      <c r="BZ35" s="211">
        <f t="shared" si="23"/>
        <v>5149.5852493165821</v>
      </c>
      <c r="CA35" s="211">
        <f t="shared" si="23"/>
        <v>5109.8912890442025</v>
      </c>
      <c r="CB35" s="211">
        <f t="shared" si="23"/>
        <v>5070.1973287718238</v>
      </c>
      <c r="CC35" s="211">
        <f t="shared" si="23"/>
        <v>5030.5033684994451</v>
      </c>
      <c r="CD35" s="211">
        <f t="shared" si="23"/>
        <v>4990.8094082270663</v>
      </c>
      <c r="CE35" s="211">
        <f t="shared" si="23"/>
        <v>4951.1154479546876</v>
      </c>
      <c r="CF35" s="211">
        <f t="shared" si="23"/>
        <v>4911.421487682308</v>
      </c>
      <c r="CG35" s="211">
        <f t="shared" si="23"/>
        <v>4871.7275274099293</v>
      </c>
      <c r="CH35" s="211">
        <f t="shared" si="24"/>
        <v>4832.0335671375506</v>
      </c>
      <c r="CI35" s="211">
        <f t="shared" si="24"/>
        <v>4602.5742053270469</v>
      </c>
      <c r="CJ35" s="211">
        <f t="shared" si="24"/>
        <v>4373.1148435165442</v>
      </c>
      <c r="CK35" s="211">
        <f t="shared" si="24"/>
        <v>4143.6554817060405</v>
      </c>
      <c r="CL35" s="211">
        <f t="shared" si="24"/>
        <v>3914.1961198955369</v>
      </c>
      <c r="CM35" s="211">
        <f t="shared" si="24"/>
        <v>3684.7367580850337</v>
      </c>
      <c r="CN35" s="211">
        <f t="shared" si="24"/>
        <v>3455.2773962745305</v>
      </c>
      <c r="CO35" s="211">
        <f t="shared" si="24"/>
        <v>3225.8180344640268</v>
      </c>
      <c r="CP35" s="211">
        <f t="shared" si="24"/>
        <v>2996.3586726535236</v>
      </c>
      <c r="CQ35" s="211">
        <f t="shared" si="24"/>
        <v>2766.8993108430204</v>
      </c>
      <c r="CR35" s="211">
        <f t="shared" si="25"/>
        <v>2537.4399490325168</v>
      </c>
      <c r="CS35" s="211">
        <f t="shared" si="25"/>
        <v>2307.9805872220131</v>
      </c>
      <c r="CT35" s="211">
        <f t="shared" si="25"/>
        <v>2078.5212254115099</v>
      </c>
      <c r="CU35" s="211">
        <f t="shared" si="25"/>
        <v>1849.0618636010072</v>
      </c>
      <c r="CV35" s="211">
        <f t="shared" si="25"/>
        <v>1619.6025017905035</v>
      </c>
      <c r="CW35" s="211">
        <f t="shared" si="25"/>
        <v>1504.8728208852517</v>
      </c>
      <c r="CX35" s="211">
        <f t="shared" si="25"/>
        <v>1504.8728208852517</v>
      </c>
      <c r="CY35" s="211">
        <f t="shared" si="25"/>
        <v>1504.8728208852517</v>
      </c>
      <c r="CZ35" s="211">
        <f t="shared" si="25"/>
        <v>1504.8728208852517</v>
      </c>
      <c r="DA35" s="211">
        <f t="shared" si="25"/>
        <v>1504.8728208852517</v>
      </c>
    </row>
    <row r="36" spans="1:105">
      <c r="A36" s="202" t="str">
        <f>Income!A85</f>
        <v>Cash transfer - official</v>
      </c>
      <c r="B36" s="204">
        <f>Income!B85</f>
        <v>11008.246879635082</v>
      </c>
      <c r="C36" s="204">
        <f>Income!C85</f>
        <v>0</v>
      </c>
      <c r="D36" s="204">
        <f>Income!D85</f>
        <v>0</v>
      </c>
      <c r="E36" s="204">
        <f>Income!E85</f>
        <v>0</v>
      </c>
      <c r="F36" s="211">
        <f t="shared" si="16"/>
        <v>11008.246879635082</v>
      </c>
      <c r="G36" s="211">
        <f t="shared" si="16"/>
        <v>11008.246879635082</v>
      </c>
      <c r="H36" s="211">
        <f t="shared" si="16"/>
        <v>11008.246879635082</v>
      </c>
      <c r="I36" s="211">
        <f t="shared" si="16"/>
        <v>11008.246879635082</v>
      </c>
      <c r="J36" s="211">
        <f t="shared" si="16"/>
        <v>11008.246879635082</v>
      </c>
      <c r="K36" s="211">
        <f t="shared" si="16"/>
        <v>11008.246879635082</v>
      </c>
      <c r="L36" s="211">
        <f t="shared" si="16"/>
        <v>11008.246879635082</v>
      </c>
      <c r="M36" s="211">
        <f t="shared" si="16"/>
        <v>11008.246879635082</v>
      </c>
      <c r="N36" s="211">
        <f t="shared" si="16"/>
        <v>11008.246879635082</v>
      </c>
      <c r="O36" s="211">
        <f t="shared" si="16"/>
        <v>11008.246879635082</v>
      </c>
      <c r="P36" s="211">
        <f t="shared" si="16"/>
        <v>11008.246879635082</v>
      </c>
      <c r="Q36" s="211">
        <f t="shared" si="16"/>
        <v>11008.246879635082</v>
      </c>
      <c r="R36" s="211">
        <f t="shared" si="16"/>
        <v>11008.246879635082</v>
      </c>
      <c r="S36" s="211">
        <f t="shared" si="16"/>
        <v>11008.246879635082</v>
      </c>
      <c r="T36" s="211">
        <f t="shared" si="16"/>
        <v>11008.246879635082</v>
      </c>
      <c r="U36" s="211">
        <f t="shared" si="16"/>
        <v>10853.201148935996</v>
      </c>
      <c r="V36" s="211">
        <f t="shared" si="17"/>
        <v>10543.109687537824</v>
      </c>
      <c r="W36" s="211">
        <f t="shared" si="17"/>
        <v>10233.018226139653</v>
      </c>
      <c r="X36" s="211">
        <f t="shared" si="17"/>
        <v>9922.9267647414817</v>
      </c>
      <c r="Y36" s="211">
        <f t="shared" si="17"/>
        <v>9612.8353033433104</v>
      </c>
      <c r="Z36" s="211">
        <f t="shared" si="17"/>
        <v>9302.7438419451391</v>
      </c>
      <c r="AA36" s="211">
        <f t="shared" si="17"/>
        <v>8992.6523805469678</v>
      </c>
      <c r="AB36" s="211">
        <f t="shared" si="17"/>
        <v>8682.5609191487965</v>
      </c>
      <c r="AC36" s="211">
        <f t="shared" si="17"/>
        <v>8372.4694577506252</v>
      </c>
      <c r="AD36" s="211">
        <f t="shared" si="17"/>
        <v>8062.3779963524539</v>
      </c>
      <c r="AE36" s="211">
        <f t="shared" si="17"/>
        <v>7752.2865349542826</v>
      </c>
      <c r="AF36" s="211">
        <f t="shared" si="18"/>
        <v>7442.1950735561113</v>
      </c>
      <c r="AG36" s="211">
        <f t="shared" si="18"/>
        <v>7132.10361215794</v>
      </c>
      <c r="AH36" s="211">
        <f t="shared" si="18"/>
        <v>6822.0121507597687</v>
      </c>
      <c r="AI36" s="211">
        <f t="shared" si="18"/>
        <v>6511.9206893615974</v>
      </c>
      <c r="AJ36" s="211">
        <f t="shared" si="18"/>
        <v>6201.8292279634261</v>
      </c>
      <c r="AK36" s="211">
        <f t="shared" si="18"/>
        <v>5891.7377665652548</v>
      </c>
      <c r="AL36" s="211">
        <f t="shared" si="18"/>
        <v>5581.6463051670835</v>
      </c>
      <c r="AM36" s="211">
        <f t="shared" si="18"/>
        <v>5271.5548437689122</v>
      </c>
      <c r="AN36" s="211">
        <f t="shared" si="18"/>
        <v>4961.4633823707418</v>
      </c>
      <c r="AO36" s="211">
        <f t="shared" si="18"/>
        <v>4651.3719209725705</v>
      </c>
      <c r="AP36" s="211">
        <f t="shared" si="19"/>
        <v>4341.2804595743983</v>
      </c>
      <c r="AQ36" s="211">
        <f t="shared" si="19"/>
        <v>4031.188998176227</v>
      </c>
      <c r="AR36" s="211">
        <f t="shared" si="19"/>
        <v>3721.0975367780557</v>
      </c>
      <c r="AS36" s="211">
        <f t="shared" si="19"/>
        <v>3411.0060753798853</v>
      </c>
      <c r="AT36" s="211">
        <f t="shared" si="19"/>
        <v>3100.914613981713</v>
      </c>
      <c r="AU36" s="211">
        <f t="shared" si="19"/>
        <v>2790.8231525835417</v>
      </c>
      <c r="AV36" s="211">
        <f t="shared" si="19"/>
        <v>2480.7316911853704</v>
      </c>
      <c r="AW36" s="211">
        <f t="shared" si="19"/>
        <v>2170.6402297871991</v>
      </c>
      <c r="AX36" s="211">
        <f t="shared" si="19"/>
        <v>1860.5487683890278</v>
      </c>
      <c r="AY36" s="211">
        <f t="shared" si="19"/>
        <v>1550.4573069908565</v>
      </c>
      <c r="AZ36" s="211">
        <f t="shared" si="20"/>
        <v>1240.3658455926852</v>
      </c>
      <c r="BA36" s="211">
        <f t="shared" si="20"/>
        <v>930.27438419451391</v>
      </c>
      <c r="BB36" s="211">
        <f t="shared" si="20"/>
        <v>620.18292279634261</v>
      </c>
      <c r="BC36" s="211">
        <f t="shared" si="20"/>
        <v>310.0914613981713</v>
      </c>
      <c r="BD36" s="211">
        <f t="shared" si="20"/>
        <v>0</v>
      </c>
      <c r="BE36" s="211">
        <f t="shared" si="20"/>
        <v>0</v>
      </c>
      <c r="BF36" s="211">
        <f t="shared" si="20"/>
        <v>0</v>
      </c>
      <c r="BG36" s="211">
        <f t="shared" si="20"/>
        <v>0</v>
      </c>
      <c r="BH36" s="211">
        <f t="shared" si="20"/>
        <v>0</v>
      </c>
      <c r="BI36" s="211">
        <f t="shared" si="20"/>
        <v>0</v>
      </c>
      <c r="BJ36" s="211">
        <f t="shared" si="21"/>
        <v>0</v>
      </c>
      <c r="BK36" s="211">
        <f t="shared" si="21"/>
        <v>0</v>
      </c>
      <c r="BL36" s="211">
        <f t="shared" si="21"/>
        <v>0</v>
      </c>
      <c r="BM36" s="211">
        <f t="shared" si="21"/>
        <v>0</v>
      </c>
      <c r="BN36" s="211">
        <f t="shared" si="21"/>
        <v>0</v>
      </c>
      <c r="BO36" s="211">
        <f t="shared" si="21"/>
        <v>0</v>
      </c>
      <c r="BP36" s="211">
        <f t="shared" si="21"/>
        <v>0</v>
      </c>
      <c r="BQ36" s="211">
        <f t="shared" si="21"/>
        <v>0</v>
      </c>
      <c r="BR36" s="211">
        <f t="shared" si="21"/>
        <v>0</v>
      </c>
      <c r="BS36" s="211">
        <f t="shared" si="21"/>
        <v>0</v>
      </c>
      <c r="BT36" s="211">
        <f t="shared" si="22"/>
        <v>0</v>
      </c>
      <c r="BU36" s="211">
        <f t="shared" si="22"/>
        <v>0</v>
      </c>
      <c r="BV36" s="211">
        <f t="shared" si="22"/>
        <v>0</v>
      </c>
      <c r="BW36" s="211">
        <f t="shared" si="22"/>
        <v>0</v>
      </c>
      <c r="BX36" s="211">
        <f t="shared" si="22"/>
        <v>0</v>
      </c>
      <c r="BY36" s="211">
        <f t="shared" si="22"/>
        <v>0</v>
      </c>
      <c r="BZ36" s="211">
        <f t="shared" si="22"/>
        <v>0</v>
      </c>
      <c r="CA36" s="211">
        <f t="shared" si="22"/>
        <v>0</v>
      </c>
      <c r="CB36" s="211">
        <f t="shared" si="22"/>
        <v>0</v>
      </c>
      <c r="CC36" s="211">
        <f t="shared" si="22"/>
        <v>0</v>
      </c>
      <c r="CD36" s="211">
        <f t="shared" si="23"/>
        <v>0</v>
      </c>
      <c r="CE36" s="211">
        <f t="shared" si="23"/>
        <v>0</v>
      </c>
      <c r="CF36" s="211">
        <f t="shared" si="23"/>
        <v>0</v>
      </c>
      <c r="CG36" s="211">
        <f t="shared" si="23"/>
        <v>0</v>
      </c>
      <c r="CH36" s="211">
        <f t="shared" si="23"/>
        <v>0</v>
      </c>
      <c r="CI36" s="211">
        <f t="shared" si="23"/>
        <v>0</v>
      </c>
      <c r="CJ36" s="211">
        <f t="shared" si="23"/>
        <v>0</v>
      </c>
      <c r="CK36" s="211">
        <f t="shared" si="23"/>
        <v>0</v>
      </c>
      <c r="CL36" s="211">
        <f t="shared" si="23"/>
        <v>0</v>
      </c>
      <c r="CM36" s="211">
        <f t="shared" si="23"/>
        <v>0</v>
      </c>
      <c r="CN36" s="211">
        <f t="shared" si="24"/>
        <v>0</v>
      </c>
      <c r="CO36" s="211">
        <f t="shared" si="24"/>
        <v>0</v>
      </c>
      <c r="CP36" s="211">
        <f t="shared" si="24"/>
        <v>0</v>
      </c>
      <c r="CQ36" s="211">
        <f t="shared" si="24"/>
        <v>0</v>
      </c>
      <c r="CR36" s="211">
        <f t="shared" si="24"/>
        <v>0</v>
      </c>
      <c r="CS36" s="211">
        <f t="shared" si="24"/>
        <v>0</v>
      </c>
      <c r="CT36" s="211">
        <f t="shared" si="24"/>
        <v>0</v>
      </c>
      <c r="CU36" s="211">
        <f t="shared" si="24"/>
        <v>0</v>
      </c>
      <c r="CV36" s="211">
        <f t="shared" si="24"/>
        <v>0</v>
      </c>
      <c r="CW36" s="211">
        <f t="shared" si="24"/>
        <v>0</v>
      </c>
      <c r="CX36" s="211">
        <f t="shared" si="25"/>
        <v>0</v>
      </c>
      <c r="CY36" s="211">
        <f t="shared" si="25"/>
        <v>0</v>
      </c>
      <c r="CZ36" s="211">
        <f t="shared" si="25"/>
        <v>0</v>
      </c>
      <c r="DA36" s="211">
        <f t="shared" si="25"/>
        <v>0</v>
      </c>
    </row>
    <row r="37" spans="1:105">
      <c r="A37" s="202" t="str">
        <f>Income!A86</f>
        <v>Cash transfer - gifts</v>
      </c>
      <c r="B37" s="204">
        <f>Income!B86</f>
        <v>0</v>
      </c>
      <c r="C37" s="204">
        <f>Income!C86</f>
        <v>3518.0522319500446</v>
      </c>
      <c r="D37" s="204">
        <f>Income!D86</f>
        <v>4368.3519363631267</v>
      </c>
      <c r="E37" s="204">
        <f>Income!E86</f>
        <v>0</v>
      </c>
      <c r="F37" s="211">
        <f t="shared" si="16"/>
        <v>0</v>
      </c>
      <c r="G37" s="211">
        <f t="shared" si="16"/>
        <v>0</v>
      </c>
      <c r="H37" s="211">
        <f t="shared" si="16"/>
        <v>0</v>
      </c>
      <c r="I37" s="211">
        <f t="shared" si="16"/>
        <v>0</v>
      </c>
      <c r="J37" s="211">
        <f t="shared" si="16"/>
        <v>0</v>
      </c>
      <c r="K37" s="211">
        <f t="shared" si="16"/>
        <v>0</v>
      </c>
      <c r="L37" s="211">
        <f t="shared" si="16"/>
        <v>0</v>
      </c>
      <c r="M37" s="211">
        <f t="shared" si="16"/>
        <v>0</v>
      </c>
      <c r="N37" s="211">
        <f t="shared" si="16"/>
        <v>0</v>
      </c>
      <c r="O37" s="211">
        <f t="shared" si="16"/>
        <v>0</v>
      </c>
      <c r="P37" s="211">
        <f t="shared" si="17"/>
        <v>0</v>
      </c>
      <c r="Q37" s="211">
        <f t="shared" si="17"/>
        <v>0</v>
      </c>
      <c r="R37" s="211">
        <f t="shared" si="17"/>
        <v>0</v>
      </c>
      <c r="S37" s="211">
        <f t="shared" si="17"/>
        <v>0</v>
      </c>
      <c r="T37" s="211">
        <f t="shared" si="17"/>
        <v>0</v>
      </c>
      <c r="U37" s="211">
        <f t="shared" si="17"/>
        <v>49.550031435916296</v>
      </c>
      <c r="V37" s="211">
        <f t="shared" si="17"/>
        <v>148.65009430774853</v>
      </c>
      <c r="W37" s="211">
        <f t="shared" si="17"/>
        <v>247.75015717958078</v>
      </c>
      <c r="X37" s="211">
        <f t="shared" si="17"/>
        <v>346.85022005141303</v>
      </c>
      <c r="Y37" s="211">
        <f t="shared" si="17"/>
        <v>445.95028292324525</v>
      </c>
      <c r="Z37" s="211">
        <f t="shared" si="18"/>
        <v>545.05034579507753</v>
      </c>
      <c r="AA37" s="211">
        <f t="shared" si="18"/>
        <v>644.15040866690981</v>
      </c>
      <c r="AB37" s="211">
        <f t="shared" si="18"/>
        <v>743.25047153874198</v>
      </c>
      <c r="AC37" s="211">
        <f t="shared" si="18"/>
        <v>842.35053441057426</v>
      </c>
      <c r="AD37" s="211">
        <f t="shared" si="18"/>
        <v>941.45059728240642</v>
      </c>
      <c r="AE37" s="211">
        <f t="shared" si="18"/>
        <v>1040.5506601542386</v>
      </c>
      <c r="AF37" s="211">
        <f t="shared" si="18"/>
        <v>1139.6507230260709</v>
      </c>
      <c r="AG37" s="211">
        <f t="shared" si="18"/>
        <v>1238.7507858979031</v>
      </c>
      <c r="AH37" s="211">
        <f t="shared" si="18"/>
        <v>1337.8508487697354</v>
      </c>
      <c r="AI37" s="211">
        <f t="shared" si="18"/>
        <v>1436.9509116415677</v>
      </c>
      <c r="AJ37" s="211">
        <f t="shared" si="19"/>
        <v>1536.0509745134</v>
      </c>
      <c r="AK37" s="211">
        <f t="shared" si="19"/>
        <v>1635.151037385232</v>
      </c>
      <c r="AL37" s="211">
        <f t="shared" si="19"/>
        <v>1734.2511002570643</v>
      </c>
      <c r="AM37" s="211">
        <f t="shared" si="19"/>
        <v>1833.3511631288966</v>
      </c>
      <c r="AN37" s="211">
        <f t="shared" si="19"/>
        <v>1932.4512260007286</v>
      </c>
      <c r="AO37" s="211">
        <f t="shared" si="19"/>
        <v>2031.5512888725609</v>
      </c>
      <c r="AP37" s="211">
        <f t="shared" si="19"/>
        <v>2130.6513517443932</v>
      </c>
      <c r="AQ37" s="211">
        <f t="shared" si="19"/>
        <v>2229.7514146162252</v>
      </c>
      <c r="AR37" s="211">
        <f t="shared" si="19"/>
        <v>2328.8514774880578</v>
      </c>
      <c r="AS37" s="211">
        <f t="shared" si="19"/>
        <v>2427.9515403598898</v>
      </c>
      <c r="AT37" s="211">
        <f t="shared" si="20"/>
        <v>2527.0516032317223</v>
      </c>
      <c r="AU37" s="211">
        <f t="shared" si="20"/>
        <v>2626.1516661035544</v>
      </c>
      <c r="AV37" s="211">
        <f t="shared" si="20"/>
        <v>2725.2517289753864</v>
      </c>
      <c r="AW37" s="211">
        <f t="shared" si="20"/>
        <v>2824.3517918472189</v>
      </c>
      <c r="AX37" s="211">
        <f t="shared" si="20"/>
        <v>2923.451854719051</v>
      </c>
      <c r="AY37" s="211">
        <f t="shared" si="20"/>
        <v>3022.5519175908835</v>
      </c>
      <c r="AZ37" s="211">
        <f t="shared" si="20"/>
        <v>3121.6519804627155</v>
      </c>
      <c r="BA37" s="211">
        <f t="shared" si="20"/>
        <v>3220.752043334548</v>
      </c>
      <c r="BB37" s="211">
        <f t="shared" si="20"/>
        <v>3319.8521062063801</v>
      </c>
      <c r="BC37" s="211">
        <f t="shared" si="20"/>
        <v>3418.9521690782126</v>
      </c>
      <c r="BD37" s="211">
        <f t="shared" si="21"/>
        <v>3518.0522319500446</v>
      </c>
      <c r="BE37" s="211">
        <f t="shared" si="21"/>
        <v>3546.3955554304807</v>
      </c>
      <c r="BF37" s="211">
        <f t="shared" si="21"/>
        <v>3574.7388789109168</v>
      </c>
      <c r="BG37" s="211">
        <f t="shared" si="21"/>
        <v>3603.0822023913529</v>
      </c>
      <c r="BH37" s="211">
        <f t="shared" si="21"/>
        <v>3631.425525871789</v>
      </c>
      <c r="BI37" s="211">
        <f t="shared" si="21"/>
        <v>3659.7688493522251</v>
      </c>
      <c r="BJ37" s="211">
        <f t="shared" si="21"/>
        <v>3688.1121728326611</v>
      </c>
      <c r="BK37" s="211">
        <f t="shared" si="21"/>
        <v>3716.4554963130972</v>
      </c>
      <c r="BL37" s="211">
        <f t="shared" si="21"/>
        <v>3744.7988197935333</v>
      </c>
      <c r="BM37" s="211">
        <f t="shared" si="21"/>
        <v>3773.1421432739694</v>
      </c>
      <c r="BN37" s="211">
        <f t="shared" si="22"/>
        <v>3801.4854667544055</v>
      </c>
      <c r="BO37" s="211">
        <f t="shared" si="22"/>
        <v>3829.8287902348416</v>
      </c>
      <c r="BP37" s="211">
        <f t="shared" si="22"/>
        <v>3858.1721137152776</v>
      </c>
      <c r="BQ37" s="211">
        <f t="shared" si="22"/>
        <v>3886.5154371957137</v>
      </c>
      <c r="BR37" s="211">
        <f t="shared" si="22"/>
        <v>3914.8587606761494</v>
      </c>
      <c r="BS37" s="211">
        <f t="shared" si="22"/>
        <v>3943.2020841565854</v>
      </c>
      <c r="BT37" s="211">
        <f t="shared" si="22"/>
        <v>3971.5454076370215</v>
      </c>
      <c r="BU37" s="211">
        <f t="shared" si="22"/>
        <v>3999.8887311174576</v>
      </c>
      <c r="BV37" s="211">
        <f t="shared" si="22"/>
        <v>4028.2320545978937</v>
      </c>
      <c r="BW37" s="211">
        <f t="shared" si="22"/>
        <v>4056.5753780783298</v>
      </c>
      <c r="BX37" s="211">
        <f t="shared" si="23"/>
        <v>4084.9187015587659</v>
      </c>
      <c r="BY37" s="211">
        <f t="shared" si="23"/>
        <v>4113.2620250392019</v>
      </c>
      <c r="BZ37" s="211">
        <f t="shared" si="23"/>
        <v>4141.605348519638</v>
      </c>
      <c r="CA37" s="211">
        <f t="shared" si="23"/>
        <v>4169.9486720000741</v>
      </c>
      <c r="CB37" s="211">
        <f t="shared" si="23"/>
        <v>4198.2919954805102</v>
      </c>
      <c r="CC37" s="211">
        <f t="shared" si="23"/>
        <v>4226.6353189609463</v>
      </c>
      <c r="CD37" s="211">
        <f t="shared" si="23"/>
        <v>4254.9786424413824</v>
      </c>
      <c r="CE37" s="211">
        <f t="shared" si="23"/>
        <v>4283.3219659218184</v>
      </c>
      <c r="CF37" s="211">
        <f t="shared" si="23"/>
        <v>4311.6652894022545</v>
      </c>
      <c r="CG37" s="211">
        <f t="shared" si="23"/>
        <v>4340.0086128826906</v>
      </c>
      <c r="CH37" s="211">
        <f t="shared" si="24"/>
        <v>4368.3519363631267</v>
      </c>
      <c r="CI37" s="211">
        <f t="shared" si="24"/>
        <v>4067.086285579463</v>
      </c>
      <c r="CJ37" s="211">
        <f t="shared" si="24"/>
        <v>3765.8206347957989</v>
      </c>
      <c r="CK37" s="211">
        <f t="shared" si="24"/>
        <v>3464.5549840121348</v>
      </c>
      <c r="CL37" s="211">
        <f t="shared" si="24"/>
        <v>3163.2893332284712</v>
      </c>
      <c r="CM37" s="211">
        <f t="shared" si="24"/>
        <v>2862.023682444807</v>
      </c>
      <c r="CN37" s="211">
        <f t="shared" si="24"/>
        <v>2560.7580316611434</v>
      </c>
      <c r="CO37" s="211">
        <f t="shared" si="24"/>
        <v>2259.4923808774793</v>
      </c>
      <c r="CP37" s="211">
        <f t="shared" si="24"/>
        <v>1958.2267300938156</v>
      </c>
      <c r="CQ37" s="211">
        <f t="shared" si="24"/>
        <v>1656.9610793101515</v>
      </c>
      <c r="CR37" s="211">
        <f t="shared" si="25"/>
        <v>1355.6954285264874</v>
      </c>
      <c r="CS37" s="211">
        <f t="shared" si="25"/>
        <v>1054.4297777428237</v>
      </c>
      <c r="CT37" s="211">
        <f t="shared" si="25"/>
        <v>753.16412695916006</v>
      </c>
      <c r="CU37" s="211">
        <f t="shared" si="25"/>
        <v>451.89847617549594</v>
      </c>
      <c r="CV37" s="211">
        <f t="shared" si="25"/>
        <v>150.63282539183183</v>
      </c>
      <c r="CW37" s="211">
        <f t="shared" si="25"/>
        <v>0</v>
      </c>
      <c r="CX37" s="211">
        <f t="shared" si="25"/>
        <v>0</v>
      </c>
      <c r="CY37" s="211">
        <f t="shared" si="25"/>
        <v>0</v>
      </c>
      <c r="CZ37" s="211">
        <f t="shared" si="25"/>
        <v>0</v>
      </c>
      <c r="DA37" s="211">
        <f t="shared" si="25"/>
        <v>0</v>
      </c>
    </row>
    <row r="38" spans="1:105">
      <c r="A38" s="202" t="str">
        <f>Income!A88</f>
        <v>TOTAL</v>
      </c>
      <c r="B38" s="204">
        <f>Income!B88</f>
        <v>56141.66388001827</v>
      </c>
      <c r="C38" s="204">
        <f>Income!C88</f>
        <v>75518.552868695377</v>
      </c>
      <c r="D38" s="204">
        <f>Income!D88</f>
        <v>234929.80515275639</v>
      </c>
      <c r="E38" s="204">
        <f>Income!E88</f>
        <v>535267.73009438207</v>
      </c>
      <c r="F38" s="205">
        <f t="shared" ref="F38:AK38" si="26">SUM(F25:F37)</f>
        <v>56141.66388001827</v>
      </c>
      <c r="G38" s="205">
        <f t="shared" si="26"/>
        <v>56141.66388001827</v>
      </c>
      <c r="H38" s="205">
        <f t="shared" si="26"/>
        <v>56141.66388001827</v>
      </c>
      <c r="I38" s="205">
        <f t="shared" si="26"/>
        <v>56141.66388001827</v>
      </c>
      <c r="J38" s="205">
        <f t="shared" si="26"/>
        <v>56141.66388001827</v>
      </c>
      <c r="K38" s="205">
        <f t="shared" si="26"/>
        <v>56141.66388001827</v>
      </c>
      <c r="L38" s="205">
        <f t="shared" si="26"/>
        <v>56141.66388001827</v>
      </c>
      <c r="M38" s="205">
        <f t="shared" si="26"/>
        <v>56141.66388001827</v>
      </c>
      <c r="N38" s="205">
        <f t="shared" si="26"/>
        <v>56141.66388001827</v>
      </c>
      <c r="O38" s="205">
        <f t="shared" si="26"/>
        <v>56141.66388001827</v>
      </c>
      <c r="P38" s="205">
        <f t="shared" si="26"/>
        <v>56141.66388001827</v>
      </c>
      <c r="Q38" s="205">
        <f t="shared" si="26"/>
        <v>56141.66388001827</v>
      </c>
      <c r="R38" s="205">
        <f t="shared" si="26"/>
        <v>56141.66388001827</v>
      </c>
      <c r="S38" s="205">
        <f t="shared" si="26"/>
        <v>56141.66388001827</v>
      </c>
      <c r="T38" s="205">
        <f t="shared" si="26"/>
        <v>56141.66388001827</v>
      </c>
      <c r="U38" s="205">
        <f t="shared" si="26"/>
        <v>56396.273799562063</v>
      </c>
      <c r="V38" s="205">
        <f t="shared" si="26"/>
        <v>56905.493638649648</v>
      </c>
      <c r="W38" s="205">
        <f t="shared" si="26"/>
        <v>57414.713477737227</v>
      </c>
      <c r="X38" s="205">
        <f t="shared" si="26"/>
        <v>57923.933316824805</v>
      </c>
      <c r="Y38" s="205">
        <f t="shared" si="26"/>
        <v>58433.153155912383</v>
      </c>
      <c r="Z38" s="205">
        <f t="shared" si="26"/>
        <v>58942.372994999962</v>
      </c>
      <c r="AA38" s="205">
        <f t="shared" si="26"/>
        <v>59451.59283408754</v>
      </c>
      <c r="AB38" s="205">
        <f t="shared" si="26"/>
        <v>59960.812673175118</v>
      </c>
      <c r="AC38" s="205">
        <f t="shared" si="26"/>
        <v>60470.032512262696</v>
      </c>
      <c r="AD38" s="205">
        <f t="shared" si="26"/>
        <v>60979.252351350275</v>
      </c>
      <c r="AE38" s="205">
        <f t="shared" si="26"/>
        <v>61488.47219043786</v>
      </c>
      <c r="AF38" s="205">
        <f t="shared" si="26"/>
        <v>61997.692029525439</v>
      </c>
      <c r="AG38" s="205">
        <f t="shared" si="26"/>
        <v>62506.911868613017</v>
      </c>
      <c r="AH38" s="205">
        <f t="shared" si="26"/>
        <v>63016.131707700588</v>
      </c>
      <c r="AI38" s="205">
        <f t="shared" si="26"/>
        <v>63525.351546788173</v>
      </c>
      <c r="AJ38" s="205">
        <f t="shared" si="26"/>
        <v>64034.571385875752</v>
      </c>
      <c r="AK38" s="205">
        <f t="shared" si="26"/>
        <v>64543.79122496333</v>
      </c>
      <c r="AL38" s="205">
        <f t="shared" ref="AL38:BQ38" si="27">SUM(AL25:AL37)</f>
        <v>65053.011064050916</v>
      </c>
      <c r="AM38" s="205">
        <f t="shared" si="27"/>
        <v>65562.230903138494</v>
      </c>
      <c r="AN38" s="205">
        <f t="shared" si="27"/>
        <v>66071.450742226065</v>
      </c>
      <c r="AO38" s="205">
        <f t="shared" si="27"/>
        <v>66580.67058131365</v>
      </c>
      <c r="AP38" s="205">
        <f t="shared" si="27"/>
        <v>67089.890420401221</v>
      </c>
      <c r="AQ38" s="205">
        <f t="shared" si="27"/>
        <v>67599.110259488807</v>
      </c>
      <c r="AR38" s="205">
        <f t="shared" si="27"/>
        <v>68108.330098576378</v>
      </c>
      <c r="AS38" s="205">
        <f t="shared" si="27"/>
        <v>68617.549937663964</v>
      </c>
      <c r="AT38" s="205">
        <f t="shared" si="27"/>
        <v>69126.769776751549</v>
      </c>
      <c r="AU38" s="205">
        <f t="shared" si="27"/>
        <v>69635.98961583912</v>
      </c>
      <c r="AV38" s="205">
        <f t="shared" si="27"/>
        <v>70145.209454926691</v>
      </c>
      <c r="AW38" s="205">
        <f t="shared" si="27"/>
        <v>70654.429294014277</v>
      </c>
      <c r="AX38" s="205">
        <f t="shared" si="27"/>
        <v>71163.649133101862</v>
      </c>
      <c r="AY38" s="205">
        <f t="shared" si="27"/>
        <v>71672.868972189433</v>
      </c>
      <c r="AZ38" s="205">
        <f t="shared" si="27"/>
        <v>72182.088811277004</v>
      </c>
      <c r="BA38" s="205">
        <f t="shared" si="27"/>
        <v>72691.308650364605</v>
      </c>
      <c r="BB38" s="205">
        <f t="shared" si="27"/>
        <v>73200.52848945219</v>
      </c>
      <c r="BC38" s="205">
        <f t="shared" si="27"/>
        <v>73709.748328539761</v>
      </c>
      <c r="BD38" s="205">
        <f t="shared" si="27"/>
        <v>74218.968167627347</v>
      </c>
      <c r="BE38" s="205">
        <f t="shared" si="27"/>
        <v>79497.365732277103</v>
      </c>
      <c r="BF38" s="205">
        <f t="shared" si="27"/>
        <v>84775.76329692686</v>
      </c>
      <c r="BG38" s="205">
        <f t="shared" si="27"/>
        <v>90054.160861576631</v>
      </c>
      <c r="BH38" s="205">
        <f t="shared" si="27"/>
        <v>95332.558426226416</v>
      </c>
      <c r="BI38" s="205">
        <f t="shared" si="27"/>
        <v>100610.95599087616</v>
      </c>
      <c r="BJ38" s="205">
        <f t="shared" si="27"/>
        <v>105889.35355552593</v>
      </c>
      <c r="BK38" s="205">
        <f t="shared" si="27"/>
        <v>111167.7511201757</v>
      </c>
      <c r="BL38" s="205">
        <f t="shared" si="27"/>
        <v>116446.14868482546</v>
      </c>
      <c r="BM38" s="205">
        <f t="shared" si="27"/>
        <v>121724.54624947523</v>
      </c>
      <c r="BN38" s="205">
        <f t="shared" si="27"/>
        <v>127002.94381412498</v>
      </c>
      <c r="BO38" s="205">
        <f t="shared" si="27"/>
        <v>132281.34137877476</v>
      </c>
      <c r="BP38" s="205">
        <f t="shared" si="27"/>
        <v>137559.73894342451</v>
      </c>
      <c r="BQ38" s="205">
        <f t="shared" si="27"/>
        <v>142838.1365080743</v>
      </c>
      <c r="BR38" s="205">
        <f t="shared" ref="BR38:CW38" si="28">SUM(BR25:BR37)</f>
        <v>148116.53407272408</v>
      </c>
      <c r="BS38" s="205">
        <f t="shared" si="28"/>
        <v>153394.93163737384</v>
      </c>
      <c r="BT38" s="205">
        <f t="shared" si="28"/>
        <v>158673.3292020236</v>
      </c>
      <c r="BU38" s="205">
        <f t="shared" si="28"/>
        <v>163951.72676667332</v>
      </c>
      <c r="BV38" s="205">
        <f t="shared" si="28"/>
        <v>169230.12433132314</v>
      </c>
      <c r="BW38" s="205">
        <f t="shared" si="28"/>
        <v>174508.52189597287</v>
      </c>
      <c r="BX38" s="205">
        <f t="shared" si="28"/>
        <v>179786.91946062265</v>
      </c>
      <c r="BY38" s="205">
        <f t="shared" si="28"/>
        <v>185065.31702527244</v>
      </c>
      <c r="BZ38" s="205">
        <f t="shared" si="28"/>
        <v>190343.71458992217</v>
      </c>
      <c r="CA38" s="205">
        <f t="shared" si="28"/>
        <v>195622.11215457195</v>
      </c>
      <c r="CB38" s="205">
        <f t="shared" si="28"/>
        <v>200900.50971922171</v>
      </c>
      <c r="CC38" s="205">
        <f t="shared" si="28"/>
        <v>206178.90728387146</v>
      </c>
      <c r="CD38" s="205">
        <f t="shared" si="28"/>
        <v>211457.30484852125</v>
      </c>
      <c r="CE38" s="205">
        <f t="shared" si="28"/>
        <v>216735.70241317098</v>
      </c>
      <c r="CF38" s="205">
        <f t="shared" si="28"/>
        <v>222014.09997782076</v>
      </c>
      <c r="CG38" s="205">
        <f t="shared" si="28"/>
        <v>227292.49754247055</v>
      </c>
      <c r="CH38" s="205">
        <f t="shared" si="28"/>
        <v>232570.8951071203</v>
      </c>
      <c r="CI38" s="205">
        <f t="shared" si="28"/>
        <v>252333.06105404886</v>
      </c>
      <c r="CJ38" s="205">
        <f t="shared" si="28"/>
        <v>272095.22700097738</v>
      </c>
      <c r="CK38" s="205">
        <f t="shared" si="28"/>
        <v>291857.39294790593</v>
      </c>
      <c r="CL38" s="205">
        <f t="shared" si="28"/>
        <v>311619.55889483448</v>
      </c>
      <c r="CM38" s="205">
        <f t="shared" si="28"/>
        <v>331381.72484176297</v>
      </c>
      <c r="CN38" s="205">
        <f t="shared" si="28"/>
        <v>351143.89078869153</v>
      </c>
      <c r="CO38" s="205">
        <f t="shared" si="28"/>
        <v>370906.05673562002</v>
      </c>
      <c r="CP38" s="205">
        <f t="shared" si="28"/>
        <v>390668.22268254857</v>
      </c>
      <c r="CQ38" s="205">
        <f t="shared" si="28"/>
        <v>410430.38862947712</v>
      </c>
      <c r="CR38" s="205">
        <f t="shared" si="28"/>
        <v>430192.55457640562</v>
      </c>
      <c r="CS38" s="205">
        <f t="shared" si="28"/>
        <v>449954.72052333422</v>
      </c>
      <c r="CT38" s="205">
        <f t="shared" si="28"/>
        <v>469716.88647026272</v>
      </c>
      <c r="CU38" s="205">
        <f t="shared" si="28"/>
        <v>489479.05241719121</v>
      </c>
      <c r="CV38" s="205">
        <f t="shared" si="28"/>
        <v>509241.2183641197</v>
      </c>
      <c r="CW38" s="205">
        <f t="shared" si="28"/>
        <v>519122.30133758398</v>
      </c>
      <c r="CX38" s="205">
        <f>SUM(CX25:CX37)</f>
        <v>519122.30133758398</v>
      </c>
      <c r="CY38" s="205">
        <f>SUM(CY25:CY37)</f>
        <v>519122.30133758398</v>
      </c>
      <c r="CZ38" s="205">
        <f>SUM(CZ25:CZ37)</f>
        <v>519122.30133758398</v>
      </c>
      <c r="DA38" s="205">
        <f>SUM(DA25:DA37)</f>
        <v>519122.30133758398</v>
      </c>
    </row>
    <row r="39" spans="1:105">
      <c r="A39" s="202" t="str">
        <f>Income!A89</f>
        <v>Food Poverty line</v>
      </c>
      <c r="B39" s="204">
        <f>Income!B89</f>
        <v>47494.887852133979</v>
      </c>
      <c r="C39" s="204">
        <f>Income!C89</f>
        <v>47494.887852133979</v>
      </c>
      <c r="D39" s="204">
        <f>Income!D89</f>
        <v>47494.887852133972</v>
      </c>
      <c r="E39" s="204">
        <f>Income!E89</f>
        <v>47494.887852133972</v>
      </c>
      <c r="F39" s="205">
        <f t="shared" ref="F39:U39" si="29">IF(F$2&lt;=($B$2+$C$2+$D$2),IF(F$2&lt;=($B$2+$C$2),IF(F$2&lt;=$B$2,$B39,$C39),$D39),$E39)</f>
        <v>47494.887852133979</v>
      </c>
      <c r="G39" s="205">
        <f t="shared" si="29"/>
        <v>47494.887852133979</v>
      </c>
      <c r="H39" s="205">
        <f t="shared" si="29"/>
        <v>47494.887852133979</v>
      </c>
      <c r="I39" s="205">
        <f t="shared" si="29"/>
        <v>47494.887852133979</v>
      </c>
      <c r="J39" s="205">
        <f t="shared" si="29"/>
        <v>47494.887852133979</v>
      </c>
      <c r="K39" s="205">
        <f t="shared" si="29"/>
        <v>47494.887852133979</v>
      </c>
      <c r="L39" s="205">
        <f t="shared" si="29"/>
        <v>47494.887852133979</v>
      </c>
      <c r="M39" s="205">
        <f t="shared" si="29"/>
        <v>47494.887852133979</v>
      </c>
      <c r="N39" s="205">
        <f t="shared" si="29"/>
        <v>47494.887852133979</v>
      </c>
      <c r="O39" s="205">
        <f t="shared" si="29"/>
        <v>47494.887852133979</v>
      </c>
      <c r="P39" s="205">
        <f t="shared" si="29"/>
        <v>47494.887852133979</v>
      </c>
      <c r="Q39" s="205">
        <f t="shared" si="29"/>
        <v>47494.887852133979</v>
      </c>
      <c r="R39" s="205">
        <f t="shared" si="29"/>
        <v>47494.887852133979</v>
      </c>
      <c r="S39" s="205">
        <f t="shared" si="29"/>
        <v>47494.887852133979</v>
      </c>
      <c r="T39" s="205">
        <f t="shared" si="29"/>
        <v>47494.887852133979</v>
      </c>
      <c r="U39" s="205">
        <f t="shared" si="29"/>
        <v>47494.887852133979</v>
      </c>
      <c r="V39" s="205">
        <f t="shared" ref="V39:AK40" si="30">IF(V$2&lt;=($B$2+$C$2+$D$2),IF(V$2&lt;=($B$2+$C$2),IF(V$2&lt;=$B$2,$B39,$C39),$D39),$E39)</f>
        <v>47494.887852133979</v>
      </c>
      <c r="W39" s="205">
        <f t="shared" si="30"/>
        <v>47494.887852133979</v>
      </c>
      <c r="X39" s="205">
        <f t="shared" si="30"/>
        <v>47494.887852133979</v>
      </c>
      <c r="Y39" s="205">
        <f t="shared" si="30"/>
        <v>47494.887852133979</v>
      </c>
      <c r="Z39" s="205">
        <f t="shared" si="30"/>
        <v>47494.887852133979</v>
      </c>
      <c r="AA39" s="205">
        <f t="shared" si="30"/>
        <v>47494.887852133979</v>
      </c>
      <c r="AB39" s="205">
        <f t="shared" si="30"/>
        <v>47494.887852133979</v>
      </c>
      <c r="AC39" s="205">
        <f t="shared" si="30"/>
        <v>47494.887852133979</v>
      </c>
      <c r="AD39" s="205">
        <f t="shared" si="30"/>
        <v>47494.887852133979</v>
      </c>
      <c r="AE39" s="205">
        <f t="shared" si="30"/>
        <v>47494.887852133979</v>
      </c>
      <c r="AF39" s="205">
        <f t="shared" si="30"/>
        <v>47494.887852133979</v>
      </c>
      <c r="AG39" s="205">
        <f t="shared" si="30"/>
        <v>47494.887852133979</v>
      </c>
      <c r="AH39" s="205">
        <f t="shared" si="30"/>
        <v>47494.887852133979</v>
      </c>
      <c r="AI39" s="205">
        <f t="shared" si="30"/>
        <v>47494.887852133979</v>
      </c>
      <c r="AJ39" s="205">
        <f t="shared" si="30"/>
        <v>47494.887852133979</v>
      </c>
      <c r="AK39" s="205">
        <f t="shared" si="30"/>
        <v>47494.887852133979</v>
      </c>
      <c r="AL39" s="205">
        <f t="shared" ref="AL39:BA40" si="31">IF(AL$2&lt;=($B$2+$C$2+$D$2),IF(AL$2&lt;=($B$2+$C$2),IF(AL$2&lt;=$B$2,$B39,$C39),$D39),$E39)</f>
        <v>47494.887852133979</v>
      </c>
      <c r="AM39" s="205">
        <f t="shared" si="31"/>
        <v>47494.887852133979</v>
      </c>
      <c r="AN39" s="205">
        <f t="shared" si="31"/>
        <v>47494.887852133979</v>
      </c>
      <c r="AO39" s="205">
        <f t="shared" si="31"/>
        <v>47494.887852133979</v>
      </c>
      <c r="AP39" s="205">
        <f t="shared" si="31"/>
        <v>47494.887852133979</v>
      </c>
      <c r="AQ39" s="205">
        <f t="shared" si="31"/>
        <v>47494.887852133979</v>
      </c>
      <c r="AR39" s="205">
        <f t="shared" si="31"/>
        <v>47494.887852133979</v>
      </c>
      <c r="AS39" s="205">
        <f t="shared" si="31"/>
        <v>47494.887852133979</v>
      </c>
      <c r="AT39" s="205">
        <f t="shared" si="31"/>
        <v>47494.887852133979</v>
      </c>
      <c r="AU39" s="205">
        <f t="shared" si="31"/>
        <v>47494.887852133979</v>
      </c>
      <c r="AV39" s="205">
        <f t="shared" si="31"/>
        <v>47494.887852133979</v>
      </c>
      <c r="AW39" s="205">
        <f t="shared" si="31"/>
        <v>47494.887852133979</v>
      </c>
      <c r="AX39" s="205">
        <f t="shared" si="31"/>
        <v>47494.887852133979</v>
      </c>
      <c r="AY39" s="205">
        <f t="shared" si="31"/>
        <v>47494.887852133979</v>
      </c>
      <c r="AZ39" s="205">
        <f t="shared" si="31"/>
        <v>47494.887852133979</v>
      </c>
      <c r="BA39" s="205">
        <f t="shared" si="31"/>
        <v>47494.887852133979</v>
      </c>
      <c r="BB39" s="205">
        <f t="shared" ref="BB39:CD40" si="32">IF(BB$2&lt;=($B$2+$C$2+$D$2),IF(BB$2&lt;=($B$2+$C$2),IF(BB$2&lt;=$B$2,$B39,$C39),$D39),$E39)</f>
        <v>47494.887852133979</v>
      </c>
      <c r="BC39" s="205">
        <f t="shared" si="32"/>
        <v>47494.887852133979</v>
      </c>
      <c r="BD39" s="205">
        <f t="shared" si="32"/>
        <v>47494.887852133979</v>
      </c>
      <c r="BE39" s="205">
        <f t="shared" si="32"/>
        <v>47494.887852133979</v>
      </c>
      <c r="BF39" s="205">
        <f t="shared" si="32"/>
        <v>47494.887852133979</v>
      </c>
      <c r="BG39" s="205">
        <f t="shared" si="32"/>
        <v>47494.887852133979</v>
      </c>
      <c r="BH39" s="205">
        <f t="shared" si="32"/>
        <v>47494.887852133979</v>
      </c>
      <c r="BI39" s="205">
        <f t="shared" si="32"/>
        <v>47494.887852133979</v>
      </c>
      <c r="BJ39" s="205">
        <f t="shared" si="32"/>
        <v>47494.887852133979</v>
      </c>
      <c r="BK39" s="205">
        <f t="shared" si="32"/>
        <v>47494.887852133979</v>
      </c>
      <c r="BL39" s="205">
        <f t="shared" si="32"/>
        <v>47494.887852133979</v>
      </c>
      <c r="BM39" s="205">
        <f t="shared" si="32"/>
        <v>47494.887852133979</v>
      </c>
      <c r="BN39" s="205">
        <f t="shared" si="32"/>
        <v>47494.887852133979</v>
      </c>
      <c r="BO39" s="205">
        <f t="shared" si="32"/>
        <v>47494.887852133979</v>
      </c>
      <c r="BP39" s="205">
        <f t="shared" si="32"/>
        <v>47494.887852133979</v>
      </c>
      <c r="BQ39" s="205">
        <f t="shared" si="32"/>
        <v>47494.887852133979</v>
      </c>
      <c r="BR39" s="205">
        <f t="shared" si="32"/>
        <v>47494.887852133979</v>
      </c>
      <c r="BS39" s="205">
        <f t="shared" si="32"/>
        <v>47494.887852133979</v>
      </c>
      <c r="BT39" s="205">
        <f t="shared" si="32"/>
        <v>47494.887852133979</v>
      </c>
      <c r="BU39" s="205">
        <f t="shared" si="32"/>
        <v>47494.887852133979</v>
      </c>
      <c r="BV39" s="205">
        <f t="shared" si="32"/>
        <v>47494.887852133979</v>
      </c>
      <c r="BW39" s="205">
        <f t="shared" si="32"/>
        <v>47494.887852133979</v>
      </c>
      <c r="BX39" s="205">
        <f t="shared" si="32"/>
        <v>47494.887852133979</v>
      </c>
      <c r="BY39" s="205">
        <f t="shared" si="32"/>
        <v>47494.887852133972</v>
      </c>
      <c r="BZ39" s="205">
        <f t="shared" si="32"/>
        <v>47494.887852133972</v>
      </c>
      <c r="CA39" s="205">
        <f t="shared" si="32"/>
        <v>47494.887852133972</v>
      </c>
      <c r="CB39" s="205">
        <f t="shared" si="32"/>
        <v>47494.887852133972</v>
      </c>
      <c r="CC39" s="205">
        <f t="shared" si="32"/>
        <v>47494.887852133972</v>
      </c>
      <c r="CD39" s="205">
        <f t="shared" si="32"/>
        <v>47494.887852133972</v>
      </c>
      <c r="CE39" s="205">
        <f t="shared" ref="CE39:CR40" si="33">IF(CE$2&lt;=($B$2+$C$2+$D$2),IF(CE$2&lt;=($B$2+$C$2),IF(CE$2&lt;=$B$2,$B39,$C39),$D39),$E39)</f>
        <v>47494.887852133972</v>
      </c>
      <c r="CF39" s="205">
        <f t="shared" si="33"/>
        <v>47494.887852133972</v>
      </c>
      <c r="CG39" s="205">
        <f t="shared" si="33"/>
        <v>47494.887852133972</v>
      </c>
      <c r="CH39" s="205">
        <f t="shared" si="33"/>
        <v>47494.887852133972</v>
      </c>
      <c r="CI39" s="205">
        <f t="shared" si="33"/>
        <v>47494.887852133972</v>
      </c>
      <c r="CJ39" s="205">
        <f t="shared" si="33"/>
        <v>47494.887852133972</v>
      </c>
      <c r="CK39" s="205">
        <f t="shared" si="33"/>
        <v>47494.887852133972</v>
      </c>
      <c r="CL39" s="205">
        <f t="shared" si="33"/>
        <v>47494.887852133972</v>
      </c>
      <c r="CM39" s="205">
        <f t="shared" si="33"/>
        <v>47494.887852133972</v>
      </c>
      <c r="CN39" s="205">
        <f t="shared" si="33"/>
        <v>47494.887852133972</v>
      </c>
      <c r="CO39" s="205">
        <f t="shared" si="33"/>
        <v>47494.887852133972</v>
      </c>
      <c r="CP39" s="205">
        <f t="shared" si="33"/>
        <v>47494.887852133972</v>
      </c>
      <c r="CQ39" s="205">
        <f t="shared" si="33"/>
        <v>47494.887852133972</v>
      </c>
      <c r="CR39" s="205">
        <f t="shared" si="33"/>
        <v>47494.887852133972</v>
      </c>
      <c r="CS39" s="205">
        <f t="shared" ref="CS39:DA40" si="34">IF(CS$2&lt;=($B$2+$C$2+$D$2),IF(CS$2&lt;=($B$2+$C$2),IF(CS$2&lt;=$B$2,$B39,$C39),$D39),$E39)</f>
        <v>47494.887852133972</v>
      </c>
      <c r="CT39" s="205">
        <f t="shared" si="34"/>
        <v>47494.887852133972</v>
      </c>
      <c r="CU39" s="205">
        <f t="shared" si="34"/>
        <v>47494.887852133972</v>
      </c>
      <c r="CV39" s="205">
        <f t="shared" si="34"/>
        <v>47494.887852133972</v>
      </c>
      <c r="CW39" s="205">
        <f t="shared" si="34"/>
        <v>47494.887852133972</v>
      </c>
      <c r="CX39" s="205">
        <f t="shared" si="34"/>
        <v>47494.887852133972</v>
      </c>
      <c r="CY39" s="205">
        <f t="shared" si="34"/>
        <v>47494.887852133972</v>
      </c>
      <c r="CZ39" s="205">
        <f t="shared" si="34"/>
        <v>47494.887852133972</v>
      </c>
      <c r="DA39" s="205">
        <f t="shared" si="34"/>
        <v>47494.887852133972</v>
      </c>
    </row>
    <row r="40" spans="1:105">
      <c r="A40" s="202" t="str">
        <f>Income!A90</f>
        <v>Lower Bound Poverty line</v>
      </c>
      <c r="B40" s="204">
        <f>Income!B90</f>
        <v>63918.914518800651</v>
      </c>
      <c r="C40" s="204">
        <f>Income!C90</f>
        <v>63918.914518800651</v>
      </c>
      <c r="D40" s="204">
        <f>Income!D90</f>
        <v>63918.914518800637</v>
      </c>
      <c r="E40" s="204">
        <f>Income!E90</f>
        <v>63918.914518800644</v>
      </c>
      <c r="F40" s="205">
        <f t="shared" ref="F40:U40" si="35">IF(F$2&lt;=($B$2+$C$2+$D$2),IF(F$2&lt;=($B$2+$C$2),IF(F$2&lt;=$B$2,$B40,$C40),$D40),$E40)</f>
        <v>63918.914518800651</v>
      </c>
      <c r="G40" s="205">
        <f t="shared" si="35"/>
        <v>63918.914518800651</v>
      </c>
      <c r="H40" s="205">
        <f t="shared" si="35"/>
        <v>63918.914518800651</v>
      </c>
      <c r="I40" s="205">
        <f t="shared" si="35"/>
        <v>63918.914518800651</v>
      </c>
      <c r="J40" s="205">
        <f t="shared" si="35"/>
        <v>63918.914518800651</v>
      </c>
      <c r="K40" s="205">
        <f t="shared" si="35"/>
        <v>63918.914518800651</v>
      </c>
      <c r="L40" s="205">
        <f t="shared" si="35"/>
        <v>63918.914518800651</v>
      </c>
      <c r="M40" s="205">
        <f t="shared" si="35"/>
        <v>63918.914518800651</v>
      </c>
      <c r="N40" s="205">
        <f t="shared" si="35"/>
        <v>63918.914518800651</v>
      </c>
      <c r="O40" s="205">
        <f t="shared" si="35"/>
        <v>63918.914518800651</v>
      </c>
      <c r="P40" s="205">
        <f t="shared" si="35"/>
        <v>63918.914518800651</v>
      </c>
      <c r="Q40" s="205">
        <f t="shared" si="35"/>
        <v>63918.914518800651</v>
      </c>
      <c r="R40" s="205">
        <f t="shared" si="35"/>
        <v>63918.914518800651</v>
      </c>
      <c r="S40" s="205">
        <f t="shared" si="35"/>
        <v>63918.914518800651</v>
      </c>
      <c r="T40" s="205">
        <f t="shared" si="35"/>
        <v>63918.914518800651</v>
      </c>
      <c r="U40" s="205">
        <f t="shared" si="35"/>
        <v>63918.914518800651</v>
      </c>
      <c r="V40" s="205">
        <f t="shared" si="30"/>
        <v>63918.914518800651</v>
      </c>
      <c r="W40" s="205">
        <f t="shared" si="30"/>
        <v>63918.914518800651</v>
      </c>
      <c r="X40" s="205">
        <f t="shared" si="30"/>
        <v>63918.914518800651</v>
      </c>
      <c r="Y40" s="205">
        <f t="shared" si="30"/>
        <v>63918.914518800651</v>
      </c>
      <c r="Z40" s="205">
        <f t="shared" si="30"/>
        <v>63918.914518800651</v>
      </c>
      <c r="AA40" s="205">
        <f t="shared" si="30"/>
        <v>63918.914518800651</v>
      </c>
      <c r="AB40" s="205">
        <f t="shared" si="30"/>
        <v>63918.914518800651</v>
      </c>
      <c r="AC40" s="205">
        <f t="shared" si="30"/>
        <v>63918.914518800651</v>
      </c>
      <c r="AD40" s="205">
        <f t="shared" si="30"/>
        <v>63918.914518800651</v>
      </c>
      <c r="AE40" s="205">
        <f t="shared" si="30"/>
        <v>63918.914518800651</v>
      </c>
      <c r="AF40" s="205">
        <f t="shared" si="30"/>
        <v>63918.914518800651</v>
      </c>
      <c r="AG40" s="205">
        <f t="shared" si="30"/>
        <v>63918.914518800651</v>
      </c>
      <c r="AH40" s="205">
        <f t="shared" si="30"/>
        <v>63918.914518800651</v>
      </c>
      <c r="AI40" s="205">
        <f t="shared" si="30"/>
        <v>63918.914518800651</v>
      </c>
      <c r="AJ40" s="205">
        <f t="shared" si="30"/>
        <v>63918.914518800651</v>
      </c>
      <c r="AK40" s="205">
        <f t="shared" si="30"/>
        <v>63918.914518800651</v>
      </c>
      <c r="AL40" s="205">
        <f t="shared" si="31"/>
        <v>63918.914518800651</v>
      </c>
      <c r="AM40" s="205">
        <f t="shared" si="31"/>
        <v>63918.914518800651</v>
      </c>
      <c r="AN40" s="205">
        <f t="shared" si="31"/>
        <v>63918.914518800651</v>
      </c>
      <c r="AO40" s="205">
        <f t="shared" si="31"/>
        <v>63918.914518800651</v>
      </c>
      <c r="AP40" s="205">
        <f t="shared" si="31"/>
        <v>63918.914518800651</v>
      </c>
      <c r="AQ40" s="205">
        <f t="shared" si="31"/>
        <v>63918.914518800651</v>
      </c>
      <c r="AR40" s="205">
        <f t="shared" si="31"/>
        <v>63918.914518800651</v>
      </c>
      <c r="AS40" s="205">
        <f t="shared" si="31"/>
        <v>63918.914518800651</v>
      </c>
      <c r="AT40" s="205">
        <f t="shared" si="31"/>
        <v>63918.914518800651</v>
      </c>
      <c r="AU40" s="205">
        <f t="shared" si="31"/>
        <v>63918.914518800651</v>
      </c>
      <c r="AV40" s="205">
        <f t="shared" si="31"/>
        <v>63918.914518800651</v>
      </c>
      <c r="AW40" s="205">
        <f t="shared" si="31"/>
        <v>63918.914518800651</v>
      </c>
      <c r="AX40" s="205">
        <f t="shared" si="31"/>
        <v>63918.914518800651</v>
      </c>
      <c r="AY40" s="205">
        <f t="shared" si="31"/>
        <v>63918.914518800651</v>
      </c>
      <c r="AZ40" s="205">
        <f t="shared" si="31"/>
        <v>63918.914518800651</v>
      </c>
      <c r="BA40" s="205">
        <f t="shared" si="31"/>
        <v>63918.914518800651</v>
      </c>
      <c r="BB40" s="205">
        <f t="shared" si="32"/>
        <v>63918.914518800651</v>
      </c>
      <c r="BC40" s="205">
        <f t="shared" si="32"/>
        <v>63918.914518800651</v>
      </c>
      <c r="BD40" s="205">
        <f t="shared" si="32"/>
        <v>63918.914518800651</v>
      </c>
      <c r="BE40" s="205">
        <f t="shared" si="32"/>
        <v>63918.914518800651</v>
      </c>
      <c r="BF40" s="205">
        <f t="shared" si="32"/>
        <v>63918.914518800651</v>
      </c>
      <c r="BG40" s="205">
        <f t="shared" si="32"/>
        <v>63918.914518800651</v>
      </c>
      <c r="BH40" s="205">
        <f t="shared" si="32"/>
        <v>63918.914518800651</v>
      </c>
      <c r="BI40" s="205">
        <f t="shared" si="32"/>
        <v>63918.914518800651</v>
      </c>
      <c r="BJ40" s="205">
        <f t="shared" si="32"/>
        <v>63918.914518800651</v>
      </c>
      <c r="BK40" s="205">
        <f t="shared" si="32"/>
        <v>63918.914518800651</v>
      </c>
      <c r="BL40" s="205">
        <f t="shared" si="32"/>
        <v>63918.914518800651</v>
      </c>
      <c r="BM40" s="205">
        <f t="shared" si="32"/>
        <v>63918.914518800651</v>
      </c>
      <c r="BN40" s="205">
        <f t="shared" si="32"/>
        <v>63918.914518800651</v>
      </c>
      <c r="BO40" s="205">
        <f t="shared" si="32"/>
        <v>63918.914518800651</v>
      </c>
      <c r="BP40" s="205">
        <f t="shared" si="32"/>
        <v>63918.914518800651</v>
      </c>
      <c r="BQ40" s="205">
        <f t="shared" si="32"/>
        <v>63918.914518800651</v>
      </c>
      <c r="BR40" s="205">
        <f t="shared" si="32"/>
        <v>63918.914518800651</v>
      </c>
      <c r="BS40" s="205">
        <f t="shared" si="32"/>
        <v>63918.914518800651</v>
      </c>
      <c r="BT40" s="205">
        <f t="shared" si="32"/>
        <v>63918.914518800651</v>
      </c>
      <c r="BU40" s="205">
        <f t="shared" si="32"/>
        <v>63918.914518800651</v>
      </c>
      <c r="BV40" s="205">
        <f t="shared" si="32"/>
        <v>63918.914518800651</v>
      </c>
      <c r="BW40" s="205">
        <f t="shared" si="32"/>
        <v>63918.914518800651</v>
      </c>
      <c r="BX40" s="205">
        <f t="shared" si="32"/>
        <v>63918.914518800651</v>
      </c>
      <c r="BY40" s="205">
        <f t="shared" si="32"/>
        <v>63918.914518800637</v>
      </c>
      <c r="BZ40" s="205">
        <f t="shared" si="32"/>
        <v>63918.914518800637</v>
      </c>
      <c r="CA40" s="205">
        <f t="shared" si="32"/>
        <v>63918.914518800637</v>
      </c>
      <c r="CB40" s="205">
        <f t="shared" si="32"/>
        <v>63918.914518800637</v>
      </c>
      <c r="CC40" s="205">
        <f t="shared" si="32"/>
        <v>63918.914518800637</v>
      </c>
      <c r="CD40" s="205">
        <f t="shared" si="32"/>
        <v>63918.914518800637</v>
      </c>
      <c r="CE40" s="205">
        <f t="shared" si="33"/>
        <v>63918.914518800637</v>
      </c>
      <c r="CF40" s="205">
        <f t="shared" si="33"/>
        <v>63918.914518800637</v>
      </c>
      <c r="CG40" s="205">
        <f t="shared" si="33"/>
        <v>63918.914518800637</v>
      </c>
      <c r="CH40" s="205">
        <f t="shared" si="33"/>
        <v>63918.914518800637</v>
      </c>
      <c r="CI40" s="205">
        <f t="shared" si="33"/>
        <v>63918.914518800637</v>
      </c>
      <c r="CJ40" s="205">
        <f t="shared" si="33"/>
        <v>63918.914518800637</v>
      </c>
      <c r="CK40" s="205">
        <f t="shared" si="33"/>
        <v>63918.914518800637</v>
      </c>
      <c r="CL40" s="205">
        <f t="shared" si="33"/>
        <v>63918.914518800637</v>
      </c>
      <c r="CM40" s="205">
        <f t="shared" si="33"/>
        <v>63918.914518800637</v>
      </c>
      <c r="CN40" s="205">
        <f t="shared" si="33"/>
        <v>63918.914518800637</v>
      </c>
      <c r="CO40" s="205">
        <f t="shared" si="33"/>
        <v>63918.914518800637</v>
      </c>
      <c r="CP40" s="205">
        <f t="shared" si="33"/>
        <v>63918.914518800637</v>
      </c>
      <c r="CQ40" s="205">
        <f t="shared" si="33"/>
        <v>63918.914518800644</v>
      </c>
      <c r="CR40" s="205">
        <f t="shared" si="33"/>
        <v>63918.914518800644</v>
      </c>
      <c r="CS40" s="205">
        <f t="shared" si="34"/>
        <v>63918.914518800644</v>
      </c>
      <c r="CT40" s="205">
        <f t="shared" si="34"/>
        <v>63918.914518800644</v>
      </c>
      <c r="CU40" s="205">
        <f t="shared" si="34"/>
        <v>63918.914518800644</v>
      </c>
      <c r="CV40" s="205">
        <f t="shared" si="34"/>
        <v>63918.914518800644</v>
      </c>
      <c r="CW40" s="205">
        <f t="shared" si="34"/>
        <v>63918.914518800644</v>
      </c>
      <c r="CX40" s="205">
        <f t="shared" si="34"/>
        <v>63918.914518800644</v>
      </c>
      <c r="CY40" s="205">
        <f t="shared" si="34"/>
        <v>63918.914518800644</v>
      </c>
      <c r="CZ40" s="205">
        <f t="shared" si="34"/>
        <v>63918.914518800644</v>
      </c>
      <c r="DA40" s="205">
        <f t="shared" si="34"/>
        <v>63918.914518800644</v>
      </c>
    </row>
    <row r="42" spans="1:105">
      <c r="A42" s="202" t="str">
        <f>Income!A72</f>
        <v>Own crops Consumed</v>
      </c>
      <c r="F42" s="211">
        <f t="shared" ref="F42:AK42" si="36">IF(F$22&lt;=$E$24,IF(F$22&lt;=$D$24,IF(F$22&lt;=$C$24,IF(F$22&lt;=$B$24,$B108,($C25-$B25)/($C$24-$B$24)),($D25-$C25)/($D$24-$C$24)),($E25-$D25)/($E$24-$D$24)),$F108)</f>
        <v>0</v>
      </c>
      <c r="G42" s="211">
        <f t="shared" si="36"/>
        <v>0</v>
      </c>
      <c r="H42" s="211">
        <f t="shared" si="36"/>
        <v>0</v>
      </c>
      <c r="I42" s="211">
        <f t="shared" si="36"/>
        <v>0</v>
      </c>
      <c r="J42" s="211">
        <f t="shared" si="36"/>
        <v>0</v>
      </c>
      <c r="K42" s="211">
        <f t="shared" si="36"/>
        <v>0</v>
      </c>
      <c r="L42" s="211">
        <f t="shared" si="36"/>
        <v>0</v>
      </c>
      <c r="M42" s="211">
        <f t="shared" si="36"/>
        <v>0</v>
      </c>
      <c r="N42" s="211">
        <f t="shared" si="36"/>
        <v>0</v>
      </c>
      <c r="O42" s="211">
        <f t="shared" si="36"/>
        <v>0</v>
      </c>
      <c r="P42" s="211">
        <f t="shared" si="36"/>
        <v>0</v>
      </c>
      <c r="Q42" s="211">
        <f t="shared" si="36"/>
        <v>0</v>
      </c>
      <c r="R42" s="211">
        <f t="shared" si="36"/>
        <v>0</v>
      </c>
      <c r="S42" s="211">
        <f t="shared" si="36"/>
        <v>0</v>
      </c>
      <c r="T42" s="211">
        <f t="shared" si="36"/>
        <v>0</v>
      </c>
      <c r="U42" s="211">
        <f t="shared" si="36"/>
        <v>40.969670943527198</v>
      </c>
      <c r="V42" s="211">
        <f t="shared" si="36"/>
        <v>40.969670943527198</v>
      </c>
      <c r="W42" s="211">
        <f t="shared" si="36"/>
        <v>40.969670943527198</v>
      </c>
      <c r="X42" s="211">
        <f t="shared" si="36"/>
        <v>40.969670943527198</v>
      </c>
      <c r="Y42" s="211">
        <f t="shared" si="36"/>
        <v>40.969670943527198</v>
      </c>
      <c r="Z42" s="211">
        <f t="shared" si="36"/>
        <v>40.969670943527198</v>
      </c>
      <c r="AA42" s="211">
        <f t="shared" si="36"/>
        <v>40.969670943527198</v>
      </c>
      <c r="AB42" s="211">
        <f t="shared" si="36"/>
        <v>40.969670943527198</v>
      </c>
      <c r="AC42" s="211">
        <f t="shared" si="36"/>
        <v>40.969670943527198</v>
      </c>
      <c r="AD42" s="211">
        <f t="shared" si="36"/>
        <v>40.969670943527198</v>
      </c>
      <c r="AE42" s="211">
        <f t="shared" si="36"/>
        <v>40.969670943527198</v>
      </c>
      <c r="AF42" s="211">
        <f t="shared" si="36"/>
        <v>40.969670943527198</v>
      </c>
      <c r="AG42" s="211">
        <f t="shared" si="36"/>
        <v>40.969670943527198</v>
      </c>
      <c r="AH42" s="211">
        <f t="shared" si="36"/>
        <v>40.969670943527198</v>
      </c>
      <c r="AI42" s="211">
        <f t="shared" si="36"/>
        <v>40.969670943527198</v>
      </c>
      <c r="AJ42" s="211">
        <f t="shared" si="36"/>
        <v>40.969670943527198</v>
      </c>
      <c r="AK42" s="211">
        <f t="shared" si="36"/>
        <v>40.969670943527198</v>
      </c>
      <c r="AL42" s="211">
        <f t="shared" ref="AL42:BQ42" si="37">IF(AL$22&lt;=$E$24,IF(AL$22&lt;=$D$24,IF(AL$22&lt;=$C$24,IF(AL$22&lt;=$B$24,$B108,($C25-$B25)/($C$24-$B$24)),($D25-$C25)/($D$24-$C$24)),($E25-$D25)/($E$24-$D$24)),$F108)</f>
        <v>40.969670943527198</v>
      </c>
      <c r="AM42" s="211">
        <f t="shared" si="37"/>
        <v>40.969670943527198</v>
      </c>
      <c r="AN42" s="211">
        <f t="shared" si="37"/>
        <v>40.969670943527198</v>
      </c>
      <c r="AO42" s="211">
        <f t="shared" si="37"/>
        <v>40.969670943527198</v>
      </c>
      <c r="AP42" s="211">
        <f t="shared" si="37"/>
        <v>40.969670943527198</v>
      </c>
      <c r="AQ42" s="211">
        <f t="shared" si="37"/>
        <v>40.969670943527198</v>
      </c>
      <c r="AR42" s="211">
        <f t="shared" si="37"/>
        <v>40.969670943527198</v>
      </c>
      <c r="AS42" s="211">
        <f t="shared" si="37"/>
        <v>40.969670943527198</v>
      </c>
      <c r="AT42" s="211">
        <f t="shared" si="37"/>
        <v>40.969670943527198</v>
      </c>
      <c r="AU42" s="211">
        <f t="shared" si="37"/>
        <v>40.969670943527198</v>
      </c>
      <c r="AV42" s="211">
        <f t="shared" si="37"/>
        <v>40.969670943527198</v>
      </c>
      <c r="AW42" s="211">
        <f t="shared" si="37"/>
        <v>40.969670943527198</v>
      </c>
      <c r="AX42" s="211">
        <f t="shared" si="37"/>
        <v>40.969670943527198</v>
      </c>
      <c r="AY42" s="211">
        <f t="shared" si="37"/>
        <v>40.969670943527198</v>
      </c>
      <c r="AZ42" s="211">
        <f t="shared" si="37"/>
        <v>40.969670943527198</v>
      </c>
      <c r="BA42" s="211">
        <f t="shared" si="37"/>
        <v>40.969670943527198</v>
      </c>
      <c r="BB42" s="211">
        <f t="shared" si="37"/>
        <v>40.969670943527198</v>
      </c>
      <c r="BC42" s="211">
        <f t="shared" si="37"/>
        <v>40.969670943527198</v>
      </c>
      <c r="BD42" s="211">
        <f t="shared" si="37"/>
        <v>40.969670943527198</v>
      </c>
      <c r="BE42" s="211">
        <f t="shared" si="37"/>
        <v>-31.901516172839152</v>
      </c>
      <c r="BF42" s="211">
        <f t="shared" si="37"/>
        <v>-31.901516172839152</v>
      </c>
      <c r="BG42" s="211">
        <f t="shared" si="37"/>
        <v>-31.901516172839152</v>
      </c>
      <c r="BH42" s="211">
        <f t="shared" si="37"/>
        <v>-31.901516172839152</v>
      </c>
      <c r="BI42" s="211">
        <f t="shared" si="37"/>
        <v>-31.901516172839152</v>
      </c>
      <c r="BJ42" s="211">
        <f t="shared" si="37"/>
        <v>-31.901516172839152</v>
      </c>
      <c r="BK42" s="211">
        <f t="shared" si="37"/>
        <v>-31.901516172839152</v>
      </c>
      <c r="BL42" s="211">
        <f t="shared" si="37"/>
        <v>-31.901516172839152</v>
      </c>
      <c r="BM42" s="211">
        <f t="shared" si="37"/>
        <v>-31.901516172839152</v>
      </c>
      <c r="BN42" s="211">
        <f t="shared" si="37"/>
        <v>-31.901516172839152</v>
      </c>
      <c r="BO42" s="211">
        <f t="shared" si="37"/>
        <v>-31.901516172839152</v>
      </c>
      <c r="BP42" s="211">
        <f t="shared" si="37"/>
        <v>-31.901516172839152</v>
      </c>
      <c r="BQ42" s="211">
        <f t="shared" si="37"/>
        <v>-31.901516172839152</v>
      </c>
      <c r="BR42" s="211">
        <f t="shared" ref="BR42:DA42" si="38">IF(BR$22&lt;=$E$24,IF(BR$22&lt;=$D$24,IF(BR$22&lt;=$C$24,IF(BR$22&lt;=$B$24,$B108,($C25-$B25)/($C$24-$B$24)),($D25-$C25)/($D$24-$C$24)),($E25-$D25)/($E$24-$D$24)),$F108)</f>
        <v>-31.901516172839152</v>
      </c>
      <c r="BS42" s="211">
        <f t="shared" si="38"/>
        <v>-31.901516172839152</v>
      </c>
      <c r="BT42" s="211">
        <f t="shared" si="38"/>
        <v>-31.901516172839152</v>
      </c>
      <c r="BU42" s="211">
        <f t="shared" si="38"/>
        <v>-31.901516172839152</v>
      </c>
      <c r="BV42" s="211">
        <f t="shared" si="38"/>
        <v>-31.901516172839152</v>
      </c>
      <c r="BW42" s="211">
        <f t="shared" si="38"/>
        <v>-31.901516172839152</v>
      </c>
      <c r="BX42" s="211">
        <f t="shared" si="38"/>
        <v>-31.901516172839152</v>
      </c>
      <c r="BY42" s="211">
        <f t="shared" si="38"/>
        <v>-31.901516172839152</v>
      </c>
      <c r="BZ42" s="211">
        <f t="shared" si="38"/>
        <v>-31.901516172839152</v>
      </c>
      <c r="CA42" s="211">
        <f t="shared" si="38"/>
        <v>-31.901516172839152</v>
      </c>
      <c r="CB42" s="211">
        <f t="shared" si="38"/>
        <v>-31.901516172839152</v>
      </c>
      <c r="CC42" s="211">
        <f t="shared" si="38"/>
        <v>-31.901516172839152</v>
      </c>
      <c r="CD42" s="211">
        <f t="shared" si="38"/>
        <v>-31.901516172839152</v>
      </c>
      <c r="CE42" s="211">
        <f t="shared" si="38"/>
        <v>-31.901516172839152</v>
      </c>
      <c r="CF42" s="211">
        <f t="shared" si="38"/>
        <v>-31.901516172839152</v>
      </c>
      <c r="CG42" s="211">
        <f t="shared" si="38"/>
        <v>-31.901516172839152</v>
      </c>
      <c r="CH42" s="211">
        <f t="shared" si="38"/>
        <v>-31.901516172839152</v>
      </c>
      <c r="CI42" s="211">
        <f t="shared" si="38"/>
        <v>-26.084521673103595</v>
      </c>
      <c r="CJ42" s="211">
        <f t="shared" si="38"/>
        <v>-26.084521673103595</v>
      </c>
      <c r="CK42" s="211">
        <f t="shared" si="38"/>
        <v>-26.084521673103595</v>
      </c>
      <c r="CL42" s="211">
        <f t="shared" si="38"/>
        <v>-26.084521673103595</v>
      </c>
      <c r="CM42" s="211">
        <f t="shared" si="38"/>
        <v>-26.084521673103595</v>
      </c>
      <c r="CN42" s="211">
        <f t="shared" si="38"/>
        <v>-26.084521673103595</v>
      </c>
      <c r="CO42" s="211">
        <f t="shared" si="38"/>
        <v>-26.084521673103595</v>
      </c>
      <c r="CP42" s="211">
        <f t="shared" si="38"/>
        <v>-26.084521673103595</v>
      </c>
      <c r="CQ42" s="211">
        <f t="shared" si="38"/>
        <v>-26.084521673103595</v>
      </c>
      <c r="CR42" s="211">
        <f t="shared" si="38"/>
        <v>-26.084521673103595</v>
      </c>
      <c r="CS42" s="211">
        <f t="shared" si="38"/>
        <v>-26.084521673103595</v>
      </c>
      <c r="CT42" s="211">
        <f t="shared" si="38"/>
        <v>-26.084521673103595</v>
      </c>
      <c r="CU42" s="211">
        <f t="shared" si="38"/>
        <v>-26.084521673103595</v>
      </c>
      <c r="CV42" s="211">
        <f t="shared" si="38"/>
        <v>-26.084521673103595</v>
      </c>
      <c r="CW42" s="211">
        <f t="shared" si="38"/>
        <v>106.36000000000007</v>
      </c>
      <c r="CX42" s="211">
        <f t="shared" si="38"/>
        <v>106.36000000000007</v>
      </c>
      <c r="CY42" s="211">
        <f t="shared" si="38"/>
        <v>106.36000000000007</v>
      </c>
      <c r="CZ42" s="211">
        <f t="shared" si="38"/>
        <v>106.36000000000007</v>
      </c>
      <c r="DA42" s="211">
        <f t="shared" si="38"/>
        <v>106.36000000000007</v>
      </c>
    </row>
    <row r="43" spans="1:105">
      <c r="A43" s="202" t="str">
        <f>Income!A73</f>
        <v>Own crops sold</v>
      </c>
      <c r="F43" s="211">
        <f t="shared" ref="F43:AK43" si="39">IF(F$22&lt;=$E$24,IF(F$22&lt;=$D$24,IF(F$22&lt;=$C$24,IF(F$22&lt;=$B$24,$B109,($C26-$B26)/($C$24-$B$24)),($D26-$C26)/($D$24-$C$24)),($E26-$D26)/($E$24-$D$24)),$F109)</f>
        <v>340.26</v>
      </c>
      <c r="G43" s="211">
        <f t="shared" si="39"/>
        <v>340.26</v>
      </c>
      <c r="H43" s="211">
        <f t="shared" si="39"/>
        <v>340.26</v>
      </c>
      <c r="I43" s="211">
        <f t="shared" si="39"/>
        <v>340.26</v>
      </c>
      <c r="J43" s="211">
        <f t="shared" si="39"/>
        <v>340.26</v>
      </c>
      <c r="K43" s="211">
        <f t="shared" si="39"/>
        <v>340.26</v>
      </c>
      <c r="L43" s="211">
        <f>IF(L$22&lt;=$E$24,IF(L$22&lt;=$D$24,IF(L$22&lt;=$C$24,IF(L$22&lt;=$B$24,$B109,($C26-$B26)/($C$24-$B$24)),($D26-$C26)/($D$24-$C$24)),($E26-$D26)/($E$24-$D$24)),$F109)</f>
        <v>340.26</v>
      </c>
      <c r="M43" s="211">
        <f t="shared" si="39"/>
        <v>340.26</v>
      </c>
      <c r="N43" s="211">
        <f t="shared" si="39"/>
        <v>340.26</v>
      </c>
      <c r="O43" s="211">
        <f t="shared" si="39"/>
        <v>340.26</v>
      </c>
      <c r="P43" s="211">
        <f t="shared" si="39"/>
        <v>340.26</v>
      </c>
      <c r="Q43" s="211">
        <f t="shared" si="39"/>
        <v>340.26</v>
      </c>
      <c r="R43" s="211">
        <f t="shared" si="39"/>
        <v>340.26</v>
      </c>
      <c r="S43" s="211">
        <f t="shared" si="39"/>
        <v>340.26</v>
      </c>
      <c r="T43" s="211">
        <f t="shared" si="39"/>
        <v>340.26</v>
      </c>
      <c r="U43" s="211">
        <f t="shared" si="39"/>
        <v>79.805483051501582</v>
      </c>
      <c r="V43" s="211">
        <f t="shared" si="39"/>
        <v>79.805483051501582</v>
      </c>
      <c r="W43" s="211">
        <f t="shared" si="39"/>
        <v>79.805483051501582</v>
      </c>
      <c r="X43" s="211">
        <f t="shared" si="39"/>
        <v>79.805483051501582</v>
      </c>
      <c r="Y43" s="211">
        <f t="shared" si="39"/>
        <v>79.805483051501582</v>
      </c>
      <c r="Z43" s="211">
        <f t="shared" si="39"/>
        <v>79.805483051501582</v>
      </c>
      <c r="AA43" s="211">
        <f t="shared" si="39"/>
        <v>79.805483051501582</v>
      </c>
      <c r="AB43" s="211">
        <f t="shared" si="39"/>
        <v>79.805483051501582</v>
      </c>
      <c r="AC43" s="211">
        <f t="shared" si="39"/>
        <v>79.805483051501582</v>
      </c>
      <c r="AD43" s="211">
        <f t="shared" si="39"/>
        <v>79.805483051501582</v>
      </c>
      <c r="AE43" s="211">
        <f t="shared" si="39"/>
        <v>79.805483051501582</v>
      </c>
      <c r="AF43" s="211">
        <f t="shared" si="39"/>
        <v>79.805483051501582</v>
      </c>
      <c r="AG43" s="211">
        <f t="shared" si="39"/>
        <v>79.805483051501582</v>
      </c>
      <c r="AH43" s="211">
        <f t="shared" si="39"/>
        <v>79.805483051501582</v>
      </c>
      <c r="AI43" s="211">
        <f t="shared" si="39"/>
        <v>79.805483051501582</v>
      </c>
      <c r="AJ43" s="211">
        <f t="shared" si="39"/>
        <v>79.805483051501582</v>
      </c>
      <c r="AK43" s="211">
        <f t="shared" si="39"/>
        <v>79.805483051501582</v>
      </c>
      <c r="AL43" s="211">
        <f t="shared" ref="AL43:BQ43" si="40">IF(AL$22&lt;=$E$24,IF(AL$22&lt;=$D$24,IF(AL$22&lt;=$C$24,IF(AL$22&lt;=$B$24,$B109,($C26-$B26)/($C$24-$B$24)),($D26-$C26)/($D$24-$C$24)),($E26-$D26)/($E$24-$D$24)),$F109)</f>
        <v>79.805483051501582</v>
      </c>
      <c r="AM43" s="211">
        <f t="shared" si="40"/>
        <v>79.805483051501582</v>
      </c>
      <c r="AN43" s="211">
        <f t="shared" si="40"/>
        <v>79.805483051501582</v>
      </c>
      <c r="AO43" s="211">
        <f t="shared" si="40"/>
        <v>79.805483051501582</v>
      </c>
      <c r="AP43" s="211">
        <f t="shared" si="40"/>
        <v>79.805483051501582</v>
      </c>
      <c r="AQ43" s="211">
        <f t="shared" si="40"/>
        <v>79.805483051501582</v>
      </c>
      <c r="AR43" s="211">
        <f t="shared" si="40"/>
        <v>79.805483051501582</v>
      </c>
      <c r="AS43" s="211">
        <f t="shared" si="40"/>
        <v>79.805483051501582</v>
      </c>
      <c r="AT43" s="211">
        <f t="shared" si="40"/>
        <v>79.805483051501582</v>
      </c>
      <c r="AU43" s="211">
        <f t="shared" si="40"/>
        <v>79.805483051501582</v>
      </c>
      <c r="AV43" s="211">
        <f t="shared" si="40"/>
        <v>79.805483051501582</v>
      </c>
      <c r="AW43" s="211">
        <f t="shared" si="40"/>
        <v>79.805483051501582</v>
      </c>
      <c r="AX43" s="211">
        <f t="shared" si="40"/>
        <v>79.805483051501582</v>
      </c>
      <c r="AY43" s="211">
        <f t="shared" si="40"/>
        <v>79.805483051501582</v>
      </c>
      <c r="AZ43" s="211">
        <f t="shared" si="40"/>
        <v>79.805483051501582</v>
      </c>
      <c r="BA43" s="211">
        <f t="shared" si="40"/>
        <v>79.805483051501582</v>
      </c>
      <c r="BB43" s="211">
        <f t="shared" si="40"/>
        <v>79.805483051501582</v>
      </c>
      <c r="BC43" s="211">
        <f t="shared" si="40"/>
        <v>79.805483051501582</v>
      </c>
      <c r="BD43" s="211">
        <f t="shared" si="40"/>
        <v>79.805483051501582</v>
      </c>
      <c r="BE43" s="211">
        <f t="shared" si="40"/>
        <v>-45.044989050464451</v>
      </c>
      <c r="BF43" s="211">
        <f t="shared" si="40"/>
        <v>-45.044989050464451</v>
      </c>
      <c r="BG43" s="211">
        <f t="shared" si="40"/>
        <v>-45.044989050464451</v>
      </c>
      <c r="BH43" s="211">
        <f t="shared" si="40"/>
        <v>-45.044989050464451</v>
      </c>
      <c r="BI43" s="211">
        <f t="shared" si="40"/>
        <v>-45.044989050464451</v>
      </c>
      <c r="BJ43" s="211">
        <f t="shared" si="40"/>
        <v>-45.044989050464451</v>
      </c>
      <c r="BK43" s="211">
        <f t="shared" si="40"/>
        <v>-45.044989050464451</v>
      </c>
      <c r="BL43" s="211">
        <f t="shared" si="40"/>
        <v>-45.044989050464451</v>
      </c>
      <c r="BM43" s="211">
        <f t="shared" si="40"/>
        <v>-45.044989050464451</v>
      </c>
      <c r="BN43" s="211">
        <f t="shared" si="40"/>
        <v>-45.044989050464451</v>
      </c>
      <c r="BO43" s="211">
        <f t="shared" si="40"/>
        <v>-45.044989050464451</v>
      </c>
      <c r="BP43" s="211">
        <f t="shared" si="40"/>
        <v>-45.044989050464451</v>
      </c>
      <c r="BQ43" s="211">
        <f t="shared" si="40"/>
        <v>-45.044989050464451</v>
      </c>
      <c r="BR43" s="211">
        <f t="shared" ref="BR43:DA43" si="41">IF(BR$22&lt;=$E$24,IF(BR$22&lt;=$D$24,IF(BR$22&lt;=$C$24,IF(BR$22&lt;=$B$24,$B109,($C26-$B26)/($C$24-$B$24)),($D26-$C26)/($D$24-$C$24)),($E26-$D26)/($E$24-$D$24)),$F109)</f>
        <v>-45.044989050464451</v>
      </c>
      <c r="BS43" s="211">
        <f t="shared" si="41"/>
        <v>-45.044989050464451</v>
      </c>
      <c r="BT43" s="211">
        <f t="shared" si="41"/>
        <v>-45.044989050464451</v>
      </c>
      <c r="BU43" s="211">
        <f t="shared" si="41"/>
        <v>-45.044989050464451</v>
      </c>
      <c r="BV43" s="211">
        <f t="shared" si="41"/>
        <v>-45.044989050464451</v>
      </c>
      <c r="BW43" s="211">
        <f t="shared" si="41"/>
        <v>-45.044989050464451</v>
      </c>
      <c r="BX43" s="211">
        <f t="shared" si="41"/>
        <v>-45.044989050464451</v>
      </c>
      <c r="BY43" s="211">
        <f t="shared" si="41"/>
        <v>-45.044989050464451</v>
      </c>
      <c r="BZ43" s="211">
        <f t="shared" si="41"/>
        <v>-45.044989050464451</v>
      </c>
      <c r="CA43" s="211">
        <f t="shared" si="41"/>
        <v>-45.044989050464451</v>
      </c>
      <c r="CB43" s="211">
        <f t="shared" si="41"/>
        <v>-45.044989050464451</v>
      </c>
      <c r="CC43" s="211">
        <f t="shared" si="41"/>
        <v>-45.044989050464451</v>
      </c>
      <c r="CD43" s="211">
        <f t="shared" si="41"/>
        <v>-45.044989050464451</v>
      </c>
      <c r="CE43" s="211">
        <f t="shared" si="41"/>
        <v>-45.044989050464451</v>
      </c>
      <c r="CF43" s="211">
        <f t="shared" si="41"/>
        <v>-45.044989050464451</v>
      </c>
      <c r="CG43" s="211">
        <f t="shared" si="41"/>
        <v>-45.044989050464451</v>
      </c>
      <c r="CH43" s="211">
        <f t="shared" si="41"/>
        <v>-45.044989050464451</v>
      </c>
      <c r="CI43" s="211">
        <f t="shared" si="41"/>
        <v>3506.828580130099</v>
      </c>
      <c r="CJ43" s="211">
        <f t="shared" si="41"/>
        <v>3506.828580130099</v>
      </c>
      <c r="CK43" s="211">
        <f t="shared" si="41"/>
        <v>3506.828580130099</v>
      </c>
      <c r="CL43" s="211">
        <f t="shared" si="41"/>
        <v>3506.828580130099</v>
      </c>
      <c r="CM43" s="211">
        <f t="shared" si="41"/>
        <v>3506.828580130099</v>
      </c>
      <c r="CN43" s="211">
        <f t="shared" si="41"/>
        <v>3506.828580130099</v>
      </c>
      <c r="CO43" s="211">
        <f t="shared" si="41"/>
        <v>3506.828580130099</v>
      </c>
      <c r="CP43" s="211">
        <f t="shared" si="41"/>
        <v>3506.828580130099</v>
      </c>
      <c r="CQ43" s="211">
        <f t="shared" si="41"/>
        <v>3506.828580130099</v>
      </c>
      <c r="CR43" s="211">
        <f t="shared" si="41"/>
        <v>3506.828580130099</v>
      </c>
      <c r="CS43" s="211">
        <f t="shared" si="41"/>
        <v>3506.828580130099</v>
      </c>
      <c r="CT43" s="211">
        <f t="shared" si="41"/>
        <v>3506.828580130099</v>
      </c>
      <c r="CU43" s="211">
        <f t="shared" si="41"/>
        <v>3506.828580130099</v>
      </c>
      <c r="CV43" s="211">
        <f t="shared" si="41"/>
        <v>3506.828580130099</v>
      </c>
      <c r="CW43" s="211">
        <f t="shared" si="41"/>
        <v>724.86000000000013</v>
      </c>
      <c r="CX43" s="211">
        <f t="shared" si="41"/>
        <v>724.86000000000013</v>
      </c>
      <c r="CY43" s="211">
        <f t="shared" si="41"/>
        <v>724.86000000000013</v>
      </c>
      <c r="CZ43" s="211">
        <f t="shared" si="41"/>
        <v>724.86000000000013</v>
      </c>
      <c r="DA43" s="211">
        <f t="shared" si="41"/>
        <v>724.86000000000013</v>
      </c>
    </row>
    <row r="44" spans="1:105">
      <c r="A44" s="202" t="str">
        <f>Income!A74</f>
        <v>Animal products consumed</v>
      </c>
      <c r="F44" s="211">
        <f t="shared" ref="F44:AK44" si="42">IF(F$22&lt;=$E$24,IF(F$22&lt;=$D$24,IF(F$22&lt;=$C$24,IF(F$22&lt;=$B$24,$B110,($C27-$B27)/($C$24-$B$24)),($D27-$C27)/($D$24-$C$24)),($E27-$D27)/($E$24-$D$24)),$F110)</f>
        <v>0</v>
      </c>
      <c r="G44" s="211">
        <f t="shared" si="42"/>
        <v>0</v>
      </c>
      <c r="H44" s="211">
        <f t="shared" si="42"/>
        <v>0</v>
      </c>
      <c r="I44" s="211">
        <f t="shared" si="42"/>
        <v>0</v>
      </c>
      <c r="J44" s="211">
        <f t="shared" si="42"/>
        <v>0</v>
      </c>
      <c r="K44" s="211">
        <f t="shared" si="42"/>
        <v>0</v>
      </c>
      <c r="L44" s="211">
        <f t="shared" si="42"/>
        <v>0</v>
      </c>
      <c r="M44" s="211">
        <f t="shared" si="42"/>
        <v>0</v>
      </c>
      <c r="N44" s="211">
        <f t="shared" si="42"/>
        <v>0</v>
      </c>
      <c r="O44" s="211">
        <f t="shared" si="42"/>
        <v>0</v>
      </c>
      <c r="P44" s="211">
        <f t="shared" si="42"/>
        <v>0</v>
      </c>
      <c r="Q44" s="211">
        <f t="shared" si="42"/>
        <v>0</v>
      </c>
      <c r="R44" s="211">
        <f t="shared" si="42"/>
        <v>0</v>
      </c>
      <c r="S44" s="211">
        <f t="shared" si="42"/>
        <v>0</v>
      </c>
      <c r="T44" s="211">
        <f t="shared" si="42"/>
        <v>0</v>
      </c>
      <c r="U44" s="211">
        <f t="shared" si="42"/>
        <v>18.040165852504199</v>
      </c>
      <c r="V44" s="211">
        <f t="shared" si="42"/>
        <v>18.040165852504199</v>
      </c>
      <c r="W44" s="211">
        <f t="shared" si="42"/>
        <v>18.040165852504199</v>
      </c>
      <c r="X44" s="211">
        <f t="shared" si="42"/>
        <v>18.040165852504199</v>
      </c>
      <c r="Y44" s="211">
        <f t="shared" si="42"/>
        <v>18.040165852504199</v>
      </c>
      <c r="Z44" s="211">
        <f t="shared" si="42"/>
        <v>18.040165852504199</v>
      </c>
      <c r="AA44" s="211">
        <f t="shared" si="42"/>
        <v>18.040165852504199</v>
      </c>
      <c r="AB44" s="211">
        <f t="shared" si="42"/>
        <v>18.040165852504199</v>
      </c>
      <c r="AC44" s="211">
        <f t="shared" si="42"/>
        <v>18.040165852504199</v>
      </c>
      <c r="AD44" s="211">
        <f t="shared" si="42"/>
        <v>18.040165852504199</v>
      </c>
      <c r="AE44" s="211">
        <f t="shared" si="42"/>
        <v>18.040165852504199</v>
      </c>
      <c r="AF44" s="211">
        <f t="shared" si="42"/>
        <v>18.040165852504199</v>
      </c>
      <c r="AG44" s="211">
        <f t="shared" si="42"/>
        <v>18.040165852504199</v>
      </c>
      <c r="AH44" s="211">
        <f t="shared" si="42"/>
        <v>18.040165852504199</v>
      </c>
      <c r="AI44" s="211">
        <f t="shared" si="42"/>
        <v>18.040165852504199</v>
      </c>
      <c r="AJ44" s="211">
        <f t="shared" si="42"/>
        <v>18.040165852504199</v>
      </c>
      <c r="AK44" s="211">
        <f t="shared" si="42"/>
        <v>18.040165852504199</v>
      </c>
      <c r="AL44" s="211">
        <f t="shared" ref="AL44:BQ44" si="43">IF(AL$22&lt;=$E$24,IF(AL$22&lt;=$D$24,IF(AL$22&lt;=$C$24,IF(AL$22&lt;=$B$24,$B110,($C27-$B27)/($C$24-$B$24)),($D27-$C27)/($D$24-$C$24)),($E27-$D27)/($E$24-$D$24)),$F110)</f>
        <v>18.040165852504199</v>
      </c>
      <c r="AM44" s="211">
        <f t="shared" si="43"/>
        <v>18.040165852504199</v>
      </c>
      <c r="AN44" s="211">
        <f t="shared" si="43"/>
        <v>18.040165852504199</v>
      </c>
      <c r="AO44" s="211">
        <f t="shared" si="43"/>
        <v>18.040165852504199</v>
      </c>
      <c r="AP44" s="211">
        <f t="shared" si="43"/>
        <v>18.040165852504199</v>
      </c>
      <c r="AQ44" s="211">
        <f t="shared" si="43"/>
        <v>18.040165852504199</v>
      </c>
      <c r="AR44" s="211">
        <f t="shared" si="43"/>
        <v>18.040165852504199</v>
      </c>
      <c r="AS44" s="211">
        <f t="shared" si="43"/>
        <v>18.040165852504199</v>
      </c>
      <c r="AT44" s="211">
        <f t="shared" si="43"/>
        <v>18.040165852504199</v>
      </c>
      <c r="AU44" s="211">
        <f t="shared" si="43"/>
        <v>18.040165852504199</v>
      </c>
      <c r="AV44" s="211">
        <f t="shared" si="43"/>
        <v>18.040165852504199</v>
      </c>
      <c r="AW44" s="211">
        <f t="shared" si="43"/>
        <v>18.040165852504199</v>
      </c>
      <c r="AX44" s="211">
        <f t="shared" si="43"/>
        <v>18.040165852504199</v>
      </c>
      <c r="AY44" s="211">
        <f t="shared" si="43"/>
        <v>18.040165852504199</v>
      </c>
      <c r="AZ44" s="211">
        <f t="shared" si="43"/>
        <v>18.040165852504199</v>
      </c>
      <c r="BA44" s="211">
        <f t="shared" si="43"/>
        <v>18.040165852504199</v>
      </c>
      <c r="BB44" s="211">
        <f t="shared" si="43"/>
        <v>18.040165852504199</v>
      </c>
      <c r="BC44" s="211">
        <f t="shared" si="43"/>
        <v>18.040165852504199</v>
      </c>
      <c r="BD44" s="211">
        <f t="shared" si="43"/>
        <v>18.040165852504199</v>
      </c>
      <c r="BE44" s="211">
        <f t="shared" si="43"/>
        <v>3.0496470845899921</v>
      </c>
      <c r="BF44" s="211">
        <f t="shared" si="43"/>
        <v>3.0496470845899921</v>
      </c>
      <c r="BG44" s="211">
        <f t="shared" si="43"/>
        <v>3.0496470845899921</v>
      </c>
      <c r="BH44" s="211">
        <f t="shared" si="43"/>
        <v>3.0496470845899921</v>
      </c>
      <c r="BI44" s="211">
        <f t="shared" si="43"/>
        <v>3.0496470845899921</v>
      </c>
      <c r="BJ44" s="211">
        <f t="shared" si="43"/>
        <v>3.0496470845899921</v>
      </c>
      <c r="BK44" s="211">
        <f t="shared" si="43"/>
        <v>3.0496470845899921</v>
      </c>
      <c r="BL44" s="211">
        <f t="shared" si="43"/>
        <v>3.0496470845899921</v>
      </c>
      <c r="BM44" s="211">
        <f t="shared" si="43"/>
        <v>3.0496470845899921</v>
      </c>
      <c r="BN44" s="211">
        <f t="shared" si="43"/>
        <v>3.0496470845899921</v>
      </c>
      <c r="BO44" s="211">
        <f t="shared" si="43"/>
        <v>3.0496470845899921</v>
      </c>
      <c r="BP44" s="211">
        <f t="shared" si="43"/>
        <v>3.0496470845899921</v>
      </c>
      <c r="BQ44" s="211">
        <f t="shared" si="43"/>
        <v>3.0496470845899921</v>
      </c>
      <c r="BR44" s="211">
        <f t="shared" ref="BR44:DA44" si="44">IF(BR$22&lt;=$E$24,IF(BR$22&lt;=$D$24,IF(BR$22&lt;=$C$24,IF(BR$22&lt;=$B$24,$B110,($C27-$B27)/($C$24-$B$24)),($D27-$C27)/($D$24-$C$24)),($E27-$D27)/($E$24-$D$24)),$F110)</f>
        <v>3.0496470845899921</v>
      </c>
      <c r="BS44" s="211">
        <f t="shared" si="44"/>
        <v>3.0496470845899921</v>
      </c>
      <c r="BT44" s="211">
        <f t="shared" si="44"/>
        <v>3.0496470845899921</v>
      </c>
      <c r="BU44" s="211">
        <f t="shared" si="44"/>
        <v>3.0496470845899921</v>
      </c>
      <c r="BV44" s="211">
        <f t="shared" si="44"/>
        <v>3.0496470845899921</v>
      </c>
      <c r="BW44" s="211">
        <f t="shared" si="44"/>
        <v>3.0496470845899921</v>
      </c>
      <c r="BX44" s="211">
        <f t="shared" si="44"/>
        <v>3.0496470845899921</v>
      </c>
      <c r="BY44" s="211">
        <f t="shared" si="44"/>
        <v>3.0496470845899921</v>
      </c>
      <c r="BZ44" s="211">
        <f t="shared" si="44"/>
        <v>3.0496470845899921</v>
      </c>
      <c r="CA44" s="211">
        <f t="shared" si="44"/>
        <v>3.0496470845899921</v>
      </c>
      <c r="CB44" s="211">
        <f t="shared" si="44"/>
        <v>3.0496470845899921</v>
      </c>
      <c r="CC44" s="211">
        <f t="shared" si="44"/>
        <v>3.0496470845899921</v>
      </c>
      <c r="CD44" s="211">
        <f t="shared" si="44"/>
        <v>3.0496470845899921</v>
      </c>
      <c r="CE44" s="211">
        <f t="shared" si="44"/>
        <v>3.0496470845899921</v>
      </c>
      <c r="CF44" s="211">
        <f t="shared" si="44"/>
        <v>3.0496470845899921</v>
      </c>
      <c r="CG44" s="211">
        <f t="shared" si="44"/>
        <v>3.0496470845899921</v>
      </c>
      <c r="CH44" s="211">
        <f t="shared" si="44"/>
        <v>3.0496470845899921</v>
      </c>
      <c r="CI44" s="211">
        <f t="shared" si="44"/>
        <v>136.49059888833486</v>
      </c>
      <c r="CJ44" s="211">
        <f t="shared" si="44"/>
        <v>136.49059888833486</v>
      </c>
      <c r="CK44" s="211">
        <f t="shared" si="44"/>
        <v>136.49059888833486</v>
      </c>
      <c r="CL44" s="211">
        <f t="shared" si="44"/>
        <v>136.49059888833486</v>
      </c>
      <c r="CM44" s="211">
        <f t="shared" si="44"/>
        <v>136.49059888833486</v>
      </c>
      <c r="CN44" s="211">
        <f t="shared" si="44"/>
        <v>136.49059888833486</v>
      </c>
      <c r="CO44" s="211">
        <f t="shared" si="44"/>
        <v>136.49059888833486</v>
      </c>
      <c r="CP44" s="211">
        <f t="shared" si="44"/>
        <v>136.49059888833486</v>
      </c>
      <c r="CQ44" s="211">
        <f t="shared" si="44"/>
        <v>136.49059888833486</v>
      </c>
      <c r="CR44" s="211">
        <f t="shared" si="44"/>
        <v>136.49059888833486</v>
      </c>
      <c r="CS44" s="211">
        <f t="shared" si="44"/>
        <v>136.49059888833486</v>
      </c>
      <c r="CT44" s="211">
        <f t="shared" si="44"/>
        <v>136.49059888833486</v>
      </c>
      <c r="CU44" s="211">
        <f t="shared" si="44"/>
        <v>136.49059888833486</v>
      </c>
      <c r="CV44" s="211">
        <f t="shared" si="44"/>
        <v>136.49059888833486</v>
      </c>
      <c r="CW44" s="211">
        <f t="shared" si="44"/>
        <v>8.4310000000000009</v>
      </c>
      <c r="CX44" s="211">
        <f t="shared" si="44"/>
        <v>8.4310000000000009</v>
      </c>
      <c r="CY44" s="211">
        <f t="shared" si="44"/>
        <v>8.4310000000000009</v>
      </c>
      <c r="CZ44" s="211">
        <f t="shared" si="44"/>
        <v>8.4310000000000009</v>
      </c>
      <c r="DA44" s="211">
        <f t="shared" si="44"/>
        <v>8.4310000000000009</v>
      </c>
    </row>
    <row r="45" spans="1:105">
      <c r="A45" s="202" t="str">
        <f>Income!A75</f>
        <v>Animal products sold</v>
      </c>
      <c r="F45" s="211">
        <f t="shared" ref="F45:AK45" si="45">IF(F$22&lt;=$E$24,IF(F$22&lt;=$D$24,IF(F$22&lt;=$C$24,IF(F$22&lt;=$B$24,$B111,($C28-$B28)/($C$24-$B$24)),($D28-$C28)/($D$24-$C$24)),($E28-$D28)/($E$24-$D$24)),$F111)</f>
        <v>0</v>
      </c>
      <c r="G45" s="211">
        <f t="shared" si="45"/>
        <v>0</v>
      </c>
      <c r="H45" s="211">
        <f t="shared" si="45"/>
        <v>0</v>
      </c>
      <c r="I45" s="211">
        <f t="shared" si="45"/>
        <v>0</v>
      </c>
      <c r="J45" s="211">
        <f t="shared" si="45"/>
        <v>0</v>
      </c>
      <c r="K45" s="211">
        <f t="shared" si="45"/>
        <v>0</v>
      </c>
      <c r="L45" s="211">
        <f t="shared" si="45"/>
        <v>0</v>
      </c>
      <c r="M45" s="211">
        <f t="shared" si="45"/>
        <v>0</v>
      </c>
      <c r="N45" s="211">
        <f t="shared" si="45"/>
        <v>0</v>
      </c>
      <c r="O45" s="211">
        <f t="shared" si="45"/>
        <v>0</v>
      </c>
      <c r="P45" s="211">
        <f t="shared" si="45"/>
        <v>0</v>
      </c>
      <c r="Q45" s="211">
        <f t="shared" si="45"/>
        <v>0</v>
      </c>
      <c r="R45" s="211">
        <f t="shared" si="45"/>
        <v>0</v>
      </c>
      <c r="S45" s="211">
        <f t="shared" si="45"/>
        <v>0</v>
      </c>
      <c r="T45" s="211">
        <f t="shared" si="45"/>
        <v>0</v>
      </c>
      <c r="U45" s="211">
        <f t="shared" si="45"/>
        <v>0</v>
      </c>
      <c r="V45" s="211">
        <f t="shared" si="45"/>
        <v>0</v>
      </c>
      <c r="W45" s="211">
        <f t="shared" si="45"/>
        <v>0</v>
      </c>
      <c r="X45" s="211">
        <f t="shared" si="45"/>
        <v>0</v>
      </c>
      <c r="Y45" s="211">
        <f t="shared" si="45"/>
        <v>0</v>
      </c>
      <c r="Z45" s="211">
        <f t="shared" si="45"/>
        <v>0</v>
      </c>
      <c r="AA45" s="211">
        <f t="shared" si="45"/>
        <v>0</v>
      </c>
      <c r="AB45" s="211">
        <f t="shared" si="45"/>
        <v>0</v>
      </c>
      <c r="AC45" s="211">
        <f t="shared" si="45"/>
        <v>0</v>
      </c>
      <c r="AD45" s="211">
        <f t="shared" si="45"/>
        <v>0</v>
      </c>
      <c r="AE45" s="211">
        <f t="shared" si="45"/>
        <v>0</v>
      </c>
      <c r="AF45" s="211">
        <f t="shared" si="45"/>
        <v>0</v>
      </c>
      <c r="AG45" s="211">
        <f t="shared" si="45"/>
        <v>0</v>
      </c>
      <c r="AH45" s="211">
        <f t="shared" si="45"/>
        <v>0</v>
      </c>
      <c r="AI45" s="211">
        <f t="shared" si="45"/>
        <v>0</v>
      </c>
      <c r="AJ45" s="211">
        <f t="shared" si="45"/>
        <v>0</v>
      </c>
      <c r="AK45" s="211">
        <f t="shared" si="45"/>
        <v>0</v>
      </c>
      <c r="AL45" s="211">
        <f t="shared" ref="AL45:BQ45" si="46">IF(AL$22&lt;=$E$24,IF(AL$22&lt;=$D$24,IF(AL$22&lt;=$C$24,IF(AL$22&lt;=$B$24,$B111,($C28-$B28)/($C$24-$B$24)),($D28-$C28)/($D$24-$C$24)),($E28-$D28)/($E$24-$D$24)),$F111)</f>
        <v>0</v>
      </c>
      <c r="AM45" s="211">
        <f t="shared" si="46"/>
        <v>0</v>
      </c>
      <c r="AN45" s="211">
        <f t="shared" si="46"/>
        <v>0</v>
      </c>
      <c r="AO45" s="211">
        <f t="shared" si="46"/>
        <v>0</v>
      </c>
      <c r="AP45" s="211">
        <f t="shared" si="46"/>
        <v>0</v>
      </c>
      <c r="AQ45" s="211">
        <f t="shared" si="46"/>
        <v>0</v>
      </c>
      <c r="AR45" s="211">
        <f t="shared" si="46"/>
        <v>0</v>
      </c>
      <c r="AS45" s="211">
        <f t="shared" si="46"/>
        <v>0</v>
      </c>
      <c r="AT45" s="211">
        <f t="shared" si="46"/>
        <v>0</v>
      </c>
      <c r="AU45" s="211">
        <f t="shared" si="46"/>
        <v>0</v>
      </c>
      <c r="AV45" s="211">
        <f t="shared" si="46"/>
        <v>0</v>
      </c>
      <c r="AW45" s="211">
        <f t="shared" si="46"/>
        <v>0</v>
      </c>
      <c r="AX45" s="211">
        <f t="shared" si="46"/>
        <v>0</v>
      </c>
      <c r="AY45" s="211">
        <f t="shared" si="46"/>
        <v>0</v>
      </c>
      <c r="AZ45" s="211">
        <f t="shared" si="46"/>
        <v>0</v>
      </c>
      <c r="BA45" s="211">
        <f t="shared" si="46"/>
        <v>0</v>
      </c>
      <c r="BB45" s="211">
        <f t="shared" si="46"/>
        <v>0</v>
      </c>
      <c r="BC45" s="211">
        <f t="shared" si="46"/>
        <v>0</v>
      </c>
      <c r="BD45" s="211">
        <f t="shared" si="46"/>
        <v>0</v>
      </c>
      <c r="BE45" s="211">
        <f t="shared" si="46"/>
        <v>0</v>
      </c>
      <c r="BF45" s="211">
        <f t="shared" si="46"/>
        <v>0</v>
      </c>
      <c r="BG45" s="211">
        <f t="shared" si="46"/>
        <v>0</v>
      </c>
      <c r="BH45" s="211">
        <f t="shared" si="46"/>
        <v>0</v>
      </c>
      <c r="BI45" s="211">
        <f t="shared" si="46"/>
        <v>0</v>
      </c>
      <c r="BJ45" s="211">
        <f t="shared" si="46"/>
        <v>0</v>
      </c>
      <c r="BK45" s="211">
        <f t="shared" si="46"/>
        <v>0</v>
      </c>
      <c r="BL45" s="211">
        <f t="shared" si="46"/>
        <v>0</v>
      </c>
      <c r="BM45" s="211">
        <f t="shared" si="46"/>
        <v>0</v>
      </c>
      <c r="BN45" s="211">
        <f t="shared" si="46"/>
        <v>0</v>
      </c>
      <c r="BO45" s="211">
        <f t="shared" si="46"/>
        <v>0</v>
      </c>
      <c r="BP45" s="211">
        <f t="shared" si="46"/>
        <v>0</v>
      </c>
      <c r="BQ45" s="211">
        <f t="shared" si="46"/>
        <v>0</v>
      </c>
      <c r="BR45" s="211">
        <f t="shared" ref="BR45:DA45" si="47">IF(BR$22&lt;=$E$24,IF(BR$22&lt;=$D$24,IF(BR$22&lt;=$C$24,IF(BR$22&lt;=$B$24,$B111,($C28-$B28)/($C$24-$B$24)),($D28-$C28)/($D$24-$C$24)),($E28-$D28)/($E$24-$D$24)),$F111)</f>
        <v>0</v>
      </c>
      <c r="BS45" s="211">
        <f t="shared" si="47"/>
        <v>0</v>
      </c>
      <c r="BT45" s="211">
        <f t="shared" si="47"/>
        <v>0</v>
      </c>
      <c r="BU45" s="211">
        <f t="shared" si="47"/>
        <v>0</v>
      </c>
      <c r="BV45" s="211">
        <f t="shared" si="47"/>
        <v>0</v>
      </c>
      <c r="BW45" s="211">
        <f t="shared" si="47"/>
        <v>0</v>
      </c>
      <c r="BX45" s="211">
        <f t="shared" si="47"/>
        <v>0</v>
      </c>
      <c r="BY45" s="211">
        <f t="shared" si="47"/>
        <v>0</v>
      </c>
      <c r="BZ45" s="211">
        <f t="shared" si="47"/>
        <v>0</v>
      </c>
      <c r="CA45" s="211">
        <f t="shared" si="47"/>
        <v>0</v>
      </c>
      <c r="CB45" s="211">
        <f t="shared" si="47"/>
        <v>0</v>
      </c>
      <c r="CC45" s="211">
        <f t="shared" si="47"/>
        <v>0</v>
      </c>
      <c r="CD45" s="211">
        <f t="shared" si="47"/>
        <v>0</v>
      </c>
      <c r="CE45" s="211">
        <f t="shared" si="47"/>
        <v>0</v>
      </c>
      <c r="CF45" s="211">
        <f t="shared" si="47"/>
        <v>0</v>
      </c>
      <c r="CG45" s="211">
        <f t="shared" si="47"/>
        <v>0</v>
      </c>
      <c r="CH45" s="211">
        <f t="shared" si="47"/>
        <v>0</v>
      </c>
      <c r="CI45" s="211">
        <f t="shared" si="47"/>
        <v>0</v>
      </c>
      <c r="CJ45" s="211">
        <f t="shared" si="47"/>
        <v>0</v>
      </c>
      <c r="CK45" s="211">
        <f t="shared" si="47"/>
        <v>0</v>
      </c>
      <c r="CL45" s="211">
        <f t="shared" si="47"/>
        <v>0</v>
      </c>
      <c r="CM45" s="211">
        <f t="shared" si="47"/>
        <v>0</v>
      </c>
      <c r="CN45" s="211">
        <f t="shared" si="47"/>
        <v>0</v>
      </c>
      <c r="CO45" s="211">
        <f t="shared" si="47"/>
        <v>0</v>
      </c>
      <c r="CP45" s="211">
        <f t="shared" si="47"/>
        <v>0</v>
      </c>
      <c r="CQ45" s="211">
        <f t="shared" si="47"/>
        <v>0</v>
      </c>
      <c r="CR45" s="211">
        <f t="shared" si="47"/>
        <v>0</v>
      </c>
      <c r="CS45" s="211">
        <f t="shared" si="47"/>
        <v>0</v>
      </c>
      <c r="CT45" s="211">
        <f t="shared" si="47"/>
        <v>0</v>
      </c>
      <c r="CU45" s="211">
        <f t="shared" si="47"/>
        <v>0</v>
      </c>
      <c r="CV45" s="211">
        <f t="shared" si="47"/>
        <v>0</v>
      </c>
      <c r="CW45" s="211">
        <f t="shared" si="47"/>
        <v>0</v>
      </c>
      <c r="CX45" s="211">
        <f t="shared" si="47"/>
        <v>0</v>
      </c>
      <c r="CY45" s="211">
        <f t="shared" si="47"/>
        <v>0</v>
      </c>
      <c r="CZ45" s="211">
        <f t="shared" si="47"/>
        <v>0</v>
      </c>
      <c r="DA45" s="211">
        <f t="shared" si="47"/>
        <v>0</v>
      </c>
    </row>
    <row r="46" spans="1:105">
      <c r="A46" s="202" t="str">
        <f>Income!A76</f>
        <v>Animals sold</v>
      </c>
      <c r="F46" s="211">
        <f t="shared" ref="F46:AK46" si="48">IF(F$22&lt;=$E$24,IF(F$22&lt;=$D$24,IF(F$22&lt;=$C$24,IF(F$22&lt;=$B$24,$B112,($C29-$B29)/($C$24-$B$24)),($D29-$C29)/($D$24-$C$24)),($E29-$D29)/($E$24-$D$24)),$F112)</f>
        <v>0</v>
      </c>
      <c r="G46" s="211">
        <f t="shared" si="48"/>
        <v>0</v>
      </c>
      <c r="H46" s="211">
        <f t="shared" si="48"/>
        <v>0</v>
      </c>
      <c r="I46" s="211">
        <f t="shared" si="48"/>
        <v>0</v>
      </c>
      <c r="J46" s="211">
        <f t="shared" si="48"/>
        <v>0</v>
      </c>
      <c r="K46" s="211">
        <f t="shared" si="48"/>
        <v>0</v>
      </c>
      <c r="L46" s="211">
        <f t="shared" si="48"/>
        <v>0</v>
      </c>
      <c r="M46" s="211">
        <f t="shared" si="48"/>
        <v>0</v>
      </c>
      <c r="N46" s="211">
        <f t="shared" si="48"/>
        <v>0</v>
      </c>
      <c r="O46" s="211">
        <f t="shared" si="48"/>
        <v>0</v>
      </c>
      <c r="P46" s="211">
        <f t="shared" si="48"/>
        <v>0</v>
      </c>
      <c r="Q46" s="211">
        <f t="shared" si="48"/>
        <v>0</v>
      </c>
      <c r="R46" s="211">
        <f t="shared" si="48"/>
        <v>0</v>
      </c>
      <c r="S46" s="211">
        <f t="shared" si="48"/>
        <v>0</v>
      </c>
      <c r="T46" s="211">
        <f t="shared" si="48"/>
        <v>0</v>
      </c>
      <c r="U46" s="211">
        <f t="shared" si="48"/>
        <v>208.83798559996288</v>
      </c>
      <c r="V46" s="211">
        <f t="shared" si="48"/>
        <v>208.83798559996288</v>
      </c>
      <c r="W46" s="211">
        <f t="shared" si="48"/>
        <v>208.83798559996288</v>
      </c>
      <c r="X46" s="211">
        <f t="shared" si="48"/>
        <v>208.83798559996288</v>
      </c>
      <c r="Y46" s="211">
        <f t="shared" si="48"/>
        <v>208.83798559996288</v>
      </c>
      <c r="Z46" s="211">
        <f t="shared" si="48"/>
        <v>208.83798559996288</v>
      </c>
      <c r="AA46" s="211">
        <f t="shared" si="48"/>
        <v>208.83798559996288</v>
      </c>
      <c r="AB46" s="211">
        <f t="shared" si="48"/>
        <v>208.83798559996288</v>
      </c>
      <c r="AC46" s="211">
        <f t="shared" si="48"/>
        <v>208.83798559996288</v>
      </c>
      <c r="AD46" s="211">
        <f t="shared" si="48"/>
        <v>208.83798559996288</v>
      </c>
      <c r="AE46" s="211">
        <f t="shared" si="48"/>
        <v>208.83798559996288</v>
      </c>
      <c r="AF46" s="211">
        <f t="shared" si="48"/>
        <v>208.83798559996288</v>
      </c>
      <c r="AG46" s="211">
        <f t="shared" si="48"/>
        <v>208.83798559996288</v>
      </c>
      <c r="AH46" s="211">
        <f t="shared" si="48"/>
        <v>208.83798559996288</v>
      </c>
      <c r="AI46" s="211">
        <f t="shared" si="48"/>
        <v>208.83798559996288</v>
      </c>
      <c r="AJ46" s="211">
        <f t="shared" si="48"/>
        <v>208.83798559996288</v>
      </c>
      <c r="AK46" s="211">
        <f t="shared" si="48"/>
        <v>208.83798559996288</v>
      </c>
      <c r="AL46" s="211">
        <f t="shared" ref="AL46:BQ46" si="49">IF(AL$22&lt;=$E$24,IF(AL$22&lt;=$D$24,IF(AL$22&lt;=$C$24,IF(AL$22&lt;=$B$24,$B112,($C29-$B29)/($C$24-$B$24)),($D29-$C29)/($D$24-$C$24)),($E29-$D29)/($E$24-$D$24)),$F112)</f>
        <v>208.83798559996288</v>
      </c>
      <c r="AM46" s="211">
        <f t="shared" si="49"/>
        <v>208.83798559996288</v>
      </c>
      <c r="AN46" s="211">
        <f t="shared" si="49"/>
        <v>208.83798559996288</v>
      </c>
      <c r="AO46" s="211">
        <f t="shared" si="49"/>
        <v>208.83798559996288</v>
      </c>
      <c r="AP46" s="211">
        <f t="shared" si="49"/>
        <v>208.83798559996288</v>
      </c>
      <c r="AQ46" s="211">
        <f t="shared" si="49"/>
        <v>208.83798559996288</v>
      </c>
      <c r="AR46" s="211">
        <f t="shared" si="49"/>
        <v>208.83798559996288</v>
      </c>
      <c r="AS46" s="211">
        <f t="shared" si="49"/>
        <v>208.83798559996288</v>
      </c>
      <c r="AT46" s="211">
        <f t="shared" si="49"/>
        <v>208.83798559996288</v>
      </c>
      <c r="AU46" s="211">
        <f t="shared" si="49"/>
        <v>208.83798559996288</v>
      </c>
      <c r="AV46" s="211">
        <f t="shared" si="49"/>
        <v>208.83798559996288</v>
      </c>
      <c r="AW46" s="211">
        <f t="shared" si="49"/>
        <v>208.83798559996288</v>
      </c>
      <c r="AX46" s="211">
        <f t="shared" si="49"/>
        <v>208.83798559996288</v>
      </c>
      <c r="AY46" s="211">
        <f t="shared" si="49"/>
        <v>208.83798559996288</v>
      </c>
      <c r="AZ46" s="211">
        <f t="shared" si="49"/>
        <v>208.83798559996288</v>
      </c>
      <c r="BA46" s="211">
        <f t="shared" si="49"/>
        <v>208.83798559996288</v>
      </c>
      <c r="BB46" s="211">
        <f t="shared" si="49"/>
        <v>208.83798559996288</v>
      </c>
      <c r="BC46" s="211">
        <f t="shared" si="49"/>
        <v>208.83798559996288</v>
      </c>
      <c r="BD46" s="211">
        <f t="shared" si="49"/>
        <v>208.83798559996288</v>
      </c>
      <c r="BE46" s="211">
        <f t="shared" si="49"/>
        <v>259.60387499149999</v>
      </c>
      <c r="BF46" s="211">
        <f t="shared" si="49"/>
        <v>259.60387499149999</v>
      </c>
      <c r="BG46" s="211">
        <f t="shared" si="49"/>
        <v>259.60387499149999</v>
      </c>
      <c r="BH46" s="211">
        <f t="shared" si="49"/>
        <v>259.60387499149999</v>
      </c>
      <c r="BI46" s="211">
        <f t="shared" si="49"/>
        <v>259.60387499149999</v>
      </c>
      <c r="BJ46" s="211">
        <f t="shared" si="49"/>
        <v>259.60387499149999</v>
      </c>
      <c r="BK46" s="211">
        <f t="shared" si="49"/>
        <v>259.60387499149999</v>
      </c>
      <c r="BL46" s="211">
        <f t="shared" si="49"/>
        <v>259.60387499149999</v>
      </c>
      <c r="BM46" s="211">
        <f t="shared" si="49"/>
        <v>259.60387499149999</v>
      </c>
      <c r="BN46" s="211">
        <f t="shared" si="49"/>
        <v>259.60387499149999</v>
      </c>
      <c r="BO46" s="211">
        <f t="shared" si="49"/>
        <v>259.60387499149999</v>
      </c>
      <c r="BP46" s="211">
        <f t="shared" si="49"/>
        <v>259.60387499149999</v>
      </c>
      <c r="BQ46" s="211">
        <f t="shared" si="49"/>
        <v>259.60387499149999</v>
      </c>
      <c r="BR46" s="211">
        <f t="shared" ref="BR46:DA46" si="50">IF(BR$22&lt;=$E$24,IF(BR$22&lt;=$D$24,IF(BR$22&lt;=$C$24,IF(BR$22&lt;=$B$24,$B112,($C29-$B29)/($C$24-$B$24)),($D29-$C29)/($D$24-$C$24)),($E29-$D29)/($E$24-$D$24)),$F112)</f>
        <v>259.60387499149999</v>
      </c>
      <c r="BS46" s="211">
        <f t="shared" si="50"/>
        <v>259.60387499149999</v>
      </c>
      <c r="BT46" s="211">
        <f t="shared" si="50"/>
        <v>259.60387499149999</v>
      </c>
      <c r="BU46" s="211">
        <f t="shared" si="50"/>
        <v>259.60387499149999</v>
      </c>
      <c r="BV46" s="211">
        <f t="shared" si="50"/>
        <v>259.60387499149999</v>
      </c>
      <c r="BW46" s="211">
        <f t="shared" si="50"/>
        <v>259.60387499149999</v>
      </c>
      <c r="BX46" s="211">
        <f t="shared" si="50"/>
        <v>259.60387499149999</v>
      </c>
      <c r="BY46" s="211">
        <f t="shared" si="50"/>
        <v>259.60387499149999</v>
      </c>
      <c r="BZ46" s="211">
        <f t="shared" si="50"/>
        <v>259.60387499149999</v>
      </c>
      <c r="CA46" s="211">
        <f t="shared" si="50"/>
        <v>259.60387499149999</v>
      </c>
      <c r="CB46" s="211">
        <f t="shared" si="50"/>
        <v>259.60387499149999</v>
      </c>
      <c r="CC46" s="211">
        <f t="shared" si="50"/>
        <v>259.60387499149999</v>
      </c>
      <c r="CD46" s="211">
        <f t="shared" si="50"/>
        <v>259.60387499149999</v>
      </c>
      <c r="CE46" s="211">
        <f t="shared" si="50"/>
        <v>259.60387499149999</v>
      </c>
      <c r="CF46" s="211">
        <f t="shared" si="50"/>
        <v>259.60387499149999</v>
      </c>
      <c r="CG46" s="211">
        <f t="shared" si="50"/>
        <v>259.60387499149999</v>
      </c>
      <c r="CH46" s="211">
        <f t="shared" si="50"/>
        <v>259.60387499149999</v>
      </c>
      <c r="CI46" s="211">
        <f t="shared" si="50"/>
        <v>942.3589556513009</v>
      </c>
      <c r="CJ46" s="211">
        <f t="shared" si="50"/>
        <v>942.3589556513009</v>
      </c>
      <c r="CK46" s="211">
        <f t="shared" si="50"/>
        <v>942.3589556513009</v>
      </c>
      <c r="CL46" s="211">
        <f t="shared" si="50"/>
        <v>942.3589556513009</v>
      </c>
      <c r="CM46" s="211">
        <f t="shared" si="50"/>
        <v>942.3589556513009</v>
      </c>
      <c r="CN46" s="211">
        <f t="shared" si="50"/>
        <v>942.3589556513009</v>
      </c>
      <c r="CO46" s="211">
        <f t="shared" si="50"/>
        <v>942.3589556513009</v>
      </c>
      <c r="CP46" s="211">
        <f t="shared" si="50"/>
        <v>942.3589556513009</v>
      </c>
      <c r="CQ46" s="211">
        <f t="shared" si="50"/>
        <v>942.3589556513009</v>
      </c>
      <c r="CR46" s="211">
        <f t="shared" si="50"/>
        <v>942.3589556513009</v>
      </c>
      <c r="CS46" s="211">
        <f t="shared" si="50"/>
        <v>942.3589556513009</v>
      </c>
      <c r="CT46" s="211">
        <f t="shared" si="50"/>
        <v>942.3589556513009</v>
      </c>
      <c r="CU46" s="211">
        <f t="shared" si="50"/>
        <v>942.3589556513009</v>
      </c>
      <c r="CV46" s="211">
        <f t="shared" si="50"/>
        <v>942.3589556513009</v>
      </c>
      <c r="CW46" s="211">
        <f t="shared" si="50"/>
        <v>0</v>
      </c>
      <c r="CX46" s="211">
        <f t="shared" si="50"/>
        <v>0</v>
      </c>
      <c r="CY46" s="211">
        <f t="shared" si="50"/>
        <v>0</v>
      </c>
      <c r="CZ46" s="211">
        <f t="shared" si="50"/>
        <v>0</v>
      </c>
      <c r="DA46" s="211">
        <f t="shared" si="50"/>
        <v>0</v>
      </c>
    </row>
    <row r="47" spans="1:105">
      <c r="A47" s="202" t="str">
        <f>Income!A77</f>
        <v>Wild foods consumed and sold</v>
      </c>
      <c r="F47" s="211">
        <f t="shared" ref="F47:AK47" si="51">IF(F$22&lt;=$E$24,IF(F$22&lt;=$D$24,IF(F$22&lt;=$C$24,IF(F$22&lt;=$B$24,$B113,($C30-$B30)/($C$24-$B$24)),($D30-$C30)/($D$24-$C$24)),($E30-$D30)/($E$24-$D$24)),$F113)</f>
        <v>0</v>
      </c>
      <c r="G47" s="211">
        <f t="shared" si="51"/>
        <v>0</v>
      </c>
      <c r="H47" s="211">
        <f t="shared" si="51"/>
        <v>0</v>
      </c>
      <c r="I47" s="211">
        <f t="shared" si="51"/>
        <v>0</v>
      </c>
      <c r="J47" s="211">
        <f t="shared" si="51"/>
        <v>0</v>
      </c>
      <c r="K47" s="211">
        <f t="shared" si="51"/>
        <v>0</v>
      </c>
      <c r="L47" s="211">
        <f t="shared" si="51"/>
        <v>0</v>
      </c>
      <c r="M47" s="211">
        <f t="shared" si="51"/>
        <v>0</v>
      </c>
      <c r="N47" s="211">
        <f t="shared" si="51"/>
        <v>0</v>
      </c>
      <c r="O47" s="211">
        <f t="shared" si="51"/>
        <v>0</v>
      </c>
      <c r="P47" s="211">
        <f t="shared" si="51"/>
        <v>0</v>
      </c>
      <c r="Q47" s="211">
        <f t="shared" si="51"/>
        <v>0</v>
      </c>
      <c r="R47" s="211">
        <f t="shared" si="51"/>
        <v>0</v>
      </c>
      <c r="S47" s="211">
        <f t="shared" si="51"/>
        <v>0</v>
      </c>
      <c r="T47" s="211">
        <f t="shared" si="51"/>
        <v>0</v>
      </c>
      <c r="U47" s="211">
        <f t="shared" si="51"/>
        <v>-22.922475133316521</v>
      </c>
      <c r="V47" s="211">
        <f t="shared" si="51"/>
        <v>-22.922475133316521</v>
      </c>
      <c r="W47" s="211">
        <f t="shared" si="51"/>
        <v>-22.922475133316521</v>
      </c>
      <c r="X47" s="211">
        <f t="shared" si="51"/>
        <v>-22.922475133316521</v>
      </c>
      <c r="Y47" s="211">
        <f t="shared" si="51"/>
        <v>-22.922475133316521</v>
      </c>
      <c r="Z47" s="211">
        <f t="shared" si="51"/>
        <v>-22.922475133316521</v>
      </c>
      <c r="AA47" s="211">
        <f t="shared" si="51"/>
        <v>-22.922475133316521</v>
      </c>
      <c r="AB47" s="211">
        <f t="shared" si="51"/>
        <v>-22.922475133316521</v>
      </c>
      <c r="AC47" s="211">
        <f t="shared" si="51"/>
        <v>-22.922475133316521</v>
      </c>
      <c r="AD47" s="211">
        <f t="shared" si="51"/>
        <v>-22.922475133316521</v>
      </c>
      <c r="AE47" s="211">
        <f t="shared" si="51"/>
        <v>-22.922475133316521</v>
      </c>
      <c r="AF47" s="211">
        <f t="shared" si="51"/>
        <v>-22.922475133316521</v>
      </c>
      <c r="AG47" s="211">
        <f t="shared" si="51"/>
        <v>-22.922475133316521</v>
      </c>
      <c r="AH47" s="211">
        <f t="shared" si="51"/>
        <v>-22.922475133316521</v>
      </c>
      <c r="AI47" s="211">
        <f t="shared" si="51"/>
        <v>-22.922475133316521</v>
      </c>
      <c r="AJ47" s="211">
        <f t="shared" si="51"/>
        <v>-22.922475133316521</v>
      </c>
      <c r="AK47" s="211">
        <f t="shared" si="51"/>
        <v>-22.922475133316521</v>
      </c>
      <c r="AL47" s="211">
        <f t="shared" ref="AL47:BQ47" si="52">IF(AL$22&lt;=$E$24,IF(AL$22&lt;=$D$24,IF(AL$22&lt;=$C$24,IF(AL$22&lt;=$B$24,$B113,($C30-$B30)/($C$24-$B$24)),($D30-$C30)/($D$24-$C$24)),($E30-$D30)/($E$24-$D$24)),$F113)</f>
        <v>-22.922475133316521</v>
      </c>
      <c r="AM47" s="211">
        <f t="shared" si="52"/>
        <v>-22.922475133316521</v>
      </c>
      <c r="AN47" s="211">
        <f t="shared" si="52"/>
        <v>-22.922475133316521</v>
      </c>
      <c r="AO47" s="211">
        <f t="shared" si="52"/>
        <v>-22.922475133316521</v>
      </c>
      <c r="AP47" s="211">
        <f t="shared" si="52"/>
        <v>-22.922475133316521</v>
      </c>
      <c r="AQ47" s="211">
        <f t="shared" si="52"/>
        <v>-22.922475133316521</v>
      </c>
      <c r="AR47" s="211">
        <f t="shared" si="52"/>
        <v>-22.922475133316521</v>
      </c>
      <c r="AS47" s="211">
        <f t="shared" si="52"/>
        <v>-22.922475133316521</v>
      </c>
      <c r="AT47" s="211">
        <f t="shared" si="52"/>
        <v>-22.922475133316521</v>
      </c>
      <c r="AU47" s="211">
        <f t="shared" si="52"/>
        <v>-22.922475133316521</v>
      </c>
      <c r="AV47" s="211">
        <f t="shared" si="52"/>
        <v>-22.922475133316521</v>
      </c>
      <c r="AW47" s="211">
        <f t="shared" si="52"/>
        <v>-22.922475133316521</v>
      </c>
      <c r="AX47" s="211">
        <f t="shared" si="52"/>
        <v>-22.922475133316521</v>
      </c>
      <c r="AY47" s="211">
        <f t="shared" si="52"/>
        <v>-22.922475133316521</v>
      </c>
      <c r="AZ47" s="211">
        <f t="shared" si="52"/>
        <v>-22.922475133316521</v>
      </c>
      <c r="BA47" s="211">
        <f t="shared" si="52"/>
        <v>-22.922475133316521</v>
      </c>
      <c r="BB47" s="211">
        <f t="shared" si="52"/>
        <v>-22.922475133316521</v>
      </c>
      <c r="BC47" s="211">
        <f t="shared" si="52"/>
        <v>-22.922475133316521</v>
      </c>
      <c r="BD47" s="211">
        <f t="shared" si="52"/>
        <v>-22.922475133316521</v>
      </c>
      <c r="BE47" s="211">
        <f t="shared" si="52"/>
        <v>-12.172603279571579</v>
      </c>
      <c r="BF47" s="211">
        <f t="shared" si="52"/>
        <v>-12.172603279571579</v>
      </c>
      <c r="BG47" s="211">
        <f t="shared" si="52"/>
        <v>-12.172603279571579</v>
      </c>
      <c r="BH47" s="211">
        <f t="shared" si="52"/>
        <v>-12.172603279571579</v>
      </c>
      <c r="BI47" s="211">
        <f t="shared" si="52"/>
        <v>-12.172603279571579</v>
      </c>
      <c r="BJ47" s="211">
        <f t="shared" si="52"/>
        <v>-12.172603279571579</v>
      </c>
      <c r="BK47" s="211">
        <f t="shared" si="52"/>
        <v>-12.172603279571579</v>
      </c>
      <c r="BL47" s="211">
        <f t="shared" si="52"/>
        <v>-12.172603279571579</v>
      </c>
      <c r="BM47" s="211">
        <f t="shared" si="52"/>
        <v>-12.172603279571579</v>
      </c>
      <c r="BN47" s="211">
        <f t="shared" si="52"/>
        <v>-12.172603279571579</v>
      </c>
      <c r="BO47" s="211">
        <f t="shared" si="52"/>
        <v>-12.172603279571579</v>
      </c>
      <c r="BP47" s="211">
        <f t="shared" si="52"/>
        <v>-12.172603279571579</v>
      </c>
      <c r="BQ47" s="211">
        <f t="shared" si="52"/>
        <v>-12.172603279571579</v>
      </c>
      <c r="BR47" s="211">
        <f t="shared" ref="BR47:DA47" si="53">IF(BR$22&lt;=$E$24,IF(BR$22&lt;=$D$24,IF(BR$22&lt;=$C$24,IF(BR$22&lt;=$B$24,$B113,($C30-$B30)/($C$24-$B$24)),($D30-$C30)/($D$24-$C$24)),($E30-$D30)/($E$24-$D$24)),$F113)</f>
        <v>-12.172603279571579</v>
      </c>
      <c r="BS47" s="211">
        <f t="shared" si="53"/>
        <v>-12.172603279571579</v>
      </c>
      <c r="BT47" s="211">
        <f t="shared" si="53"/>
        <v>-12.172603279571579</v>
      </c>
      <c r="BU47" s="211">
        <f t="shared" si="53"/>
        <v>-12.172603279571579</v>
      </c>
      <c r="BV47" s="211">
        <f t="shared" si="53"/>
        <v>-12.172603279571579</v>
      </c>
      <c r="BW47" s="211">
        <f t="shared" si="53"/>
        <v>-12.172603279571579</v>
      </c>
      <c r="BX47" s="211">
        <f t="shared" si="53"/>
        <v>-12.172603279571579</v>
      </c>
      <c r="BY47" s="211">
        <f t="shared" si="53"/>
        <v>-12.172603279571579</v>
      </c>
      <c r="BZ47" s="211">
        <f t="shared" si="53"/>
        <v>-12.172603279571579</v>
      </c>
      <c r="CA47" s="211">
        <f t="shared" si="53"/>
        <v>-12.172603279571579</v>
      </c>
      <c r="CB47" s="211">
        <f t="shared" si="53"/>
        <v>-12.172603279571579</v>
      </c>
      <c r="CC47" s="211">
        <f t="shared" si="53"/>
        <v>-12.172603279571579</v>
      </c>
      <c r="CD47" s="211">
        <f t="shared" si="53"/>
        <v>-12.172603279571579</v>
      </c>
      <c r="CE47" s="211">
        <f t="shared" si="53"/>
        <v>-12.172603279571579</v>
      </c>
      <c r="CF47" s="211">
        <f t="shared" si="53"/>
        <v>-12.172603279571579</v>
      </c>
      <c r="CG47" s="211">
        <f t="shared" si="53"/>
        <v>-12.172603279571579</v>
      </c>
      <c r="CH47" s="211">
        <f t="shared" si="53"/>
        <v>-12.172603279571579</v>
      </c>
      <c r="CI47" s="211">
        <f t="shared" si="53"/>
        <v>0</v>
      </c>
      <c r="CJ47" s="211">
        <f t="shared" si="53"/>
        <v>0</v>
      </c>
      <c r="CK47" s="211">
        <f t="shared" si="53"/>
        <v>0</v>
      </c>
      <c r="CL47" s="211">
        <f t="shared" si="53"/>
        <v>0</v>
      </c>
      <c r="CM47" s="211">
        <f t="shared" si="53"/>
        <v>0</v>
      </c>
      <c r="CN47" s="211">
        <f t="shared" si="53"/>
        <v>0</v>
      </c>
      <c r="CO47" s="211">
        <f t="shared" si="53"/>
        <v>0</v>
      </c>
      <c r="CP47" s="211">
        <f t="shared" si="53"/>
        <v>0</v>
      </c>
      <c r="CQ47" s="211">
        <f t="shared" si="53"/>
        <v>0</v>
      </c>
      <c r="CR47" s="211">
        <f t="shared" si="53"/>
        <v>0</v>
      </c>
      <c r="CS47" s="211">
        <f t="shared" si="53"/>
        <v>0</v>
      </c>
      <c r="CT47" s="211">
        <f t="shared" si="53"/>
        <v>0</v>
      </c>
      <c r="CU47" s="211">
        <f t="shared" si="53"/>
        <v>0</v>
      </c>
      <c r="CV47" s="211">
        <f t="shared" si="53"/>
        <v>0</v>
      </c>
      <c r="CW47" s="211">
        <f t="shared" si="53"/>
        <v>52.189999999999884</v>
      </c>
      <c r="CX47" s="211">
        <f t="shared" si="53"/>
        <v>52.189999999999884</v>
      </c>
      <c r="CY47" s="211">
        <f t="shared" si="53"/>
        <v>52.189999999999884</v>
      </c>
      <c r="CZ47" s="211">
        <f t="shared" si="53"/>
        <v>52.189999999999884</v>
      </c>
      <c r="DA47" s="211">
        <f t="shared" si="53"/>
        <v>52.189999999999884</v>
      </c>
    </row>
    <row r="48" spans="1:105">
      <c r="A48" s="202" t="str">
        <f>Income!A78</f>
        <v>Labour - casual</v>
      </c>
      <c r="F48" s="211">
        <f t="shared" ref="F48:AK48" si="54">IF(F$22&lt;=$E$24,IF(F$22&lt;=$D$24,IF(F$22&lt;=$C$24,IF(F$22&lt;=$B$24,$B114,($C31-$B31)/($C$24-$B$24)),($D31-$C31)/($D$24-$C$24)),($E31-$D31)/($E$24-$D$24)),$F114)</f>
        <v>0</v>
      </c>
      <c r="G48" s="211">
        <f t="shared" si="54"/>
        <v>0</v>
      </c>
      <c r="H48" s="211">
        <f t="shared" si="54"/>
        <v>0</v>
      </c>
      <c r="I48" s="211">
        <f t="shared" si="54"/>
        <v>0</v>
      </c>
      <c r="J48" s="211">
        <f t="shared" si="54"/>
        <v>0</v>
      </c>
      <c r="K48" s="211">
        <f t="shared" si="54"/>
        <v>0</v>
      </c>
      <c r="L48" s="211">
        <f t="shared" si="54"/>
        <v>0</v>
      </c>
      <c r="M48" s="211">
        <f t="shared" si="54"/>
        <v>0</v>
      </c>
      <c r="N48" s="211">
        <f t="shared" si="54"/>
        <v>0</v>
      </c>
      <c r="O48" s="211">
        <f t="shared" si="54"/>
        <v>0</v>
      </c>
      <c r="P48" s="211">
        <f t="shared" si="54"/>
        <v>0</v>
      </c>
      <c r="Q48" s="211">
        <f t="shared" si="54"/>
        <v>0</v>
      </c>
      <c r="R48" s="211">
        <f t="shared" si="54"/>
        <v>0</v>
      </c>
      <c r="S48" s="211">
        <f t="shared" si="54"/>
        <v>0</v>
      </c>
      <c r="T48" s="211">
        <f t="shared" si="54"/>
        <v>0</v>
      </c>
      <c r="U48" s="211">
        <f t="shared" si="54"/>
        <v>-170.55030376899424</v>
      </c>
      <c r="V48" s="211">
        <f t="shared" si="54"/>
        <v>-170.55030376899424</v>
      </c>
      <c r="W48" s="211">
        <f t="shared" si="54"/>
        <v>-170.55030376899424</v>
      </c>
      <c r="X48" s="211">
        <f t="shared" si="54"/>
        <v>-170.55030376899424</v>
      </c>
      <c r="Y48" s="211">
        <f t="shared" si="54"/>
        <v>-170.55030376899424</v>
      </c>
      <c r="Z48" s="211">
        <f t="shared" si="54"/>
        <v>-170.55030376899424</v>
      </c>
      <c r="AA48" s="211">
        <f t="shared" si="54"/>
        <v>-170.55030376899424</v>
      </c>
      <c r="AB48" s="211">
        <f t="shared" si="54"/>
        <v>-170.55030376899424</v>
      </c>
      <c r="AC48" s="211">
        <f t="shared" si="54"/>
        <v>-170.55030376899424</v>
      </c>
      <c r="AD48" s="211">
        <f t="shared" si="54"/>
        <v>-170.55030376899424</v>
      </c>
      <c r="AE48" s="211">
        <f t="shared" si="54"/>
        <v>-170.55030376899424</v>
      </c>
      <c r="AF48" s="211">
        <f t="shared" si="54"/>
        <v>-170.55030376899424</v>
      </c>
      <c r="AG48" s="211">
        <f t="shared" si="54"/>
        <v>-170.55030376899424</v>
      </c>
      <c r="AH48" s="211">
        <f t="shared" si="54"/>
        <v>-170.55030376899424</v>
      </c>
      <c r="AI48" s="211">
        <f t="shared" si="54"/>
        <v>-170.55030376899424</v>
      </c>
      <c r="AJ48" s="211">
        <f t="shared" si="54"/>
        <v>-170.55030376899424</v>
      </c>
      <c r="AK48" s="211">
        <f t="shared" si="54"/>
        <v>-170.55030376899424</v>
      </c>
      <c r="AL48" s="211">
        <f t="shared" ref="AL48:BQ48" si="55">IF(AL$22&lt;=$E$24,IF(AL$22&lt;=$D$24,IF(AL$22&lt;=$C$24,IF(AL$22&lt;=$B$24,$B114,($C31-$B31)/($C$24-$B$24)),($D31-$C31)/($D$24-$C$24)),($E31-$D31)/($E$24-$D$24)),$F114)</f>
        <v>-170.55030376899424</v>
      </c>
      <c r="AM48" s="211">
        <f t="shared" si="55"/>
        <v>-170.55030376899424</v>
      </c>
      <c r="AN48" s="211">
        <f t="shared" si="55"/>
        <v>-170.55030376899424</v>
      </c>
      <c r="AO48" s="211">
        <f t="shared" si="55"/>
        <v>-170.55030376899424</v>
      </c>
      <c r="AP48" s="211">
        <f t="shared" si="55"/>
        <v>-170.55030376899424</v>
      </c>
      <c r="AQ48" s="211">
        <f t="shared" si="55"/>
        <v>-170.55030376899424</v>
      </c>
      <c r="AR48" s="211">
        <f t="shared" si="55"/>
        <v>-170.55030376899424</v>
      </c>
      <c r="AS48" s="211">
        <f t="shared" si="55"/>
        <v>-170.55030376899424</v>
      </c>
      <c r="AT48" s="211">
        <f t="shared" si="55"/>
        <v>-170.55030376899424</v>
      </c>
      <c r="AU48" s="211">
        <f t="shared" si="55"/>
        <v>-170.55030376899424</v>
      </c>
      <c r="AV48" s="211">
        <f t="shared" si="55"/>
        <v>-170.55030376899424</v>
      </c>
      <c r="AW48" s="211">
        <f t="shared" si="55"/>
        <v>-170.55030376899424</v>
      </c>
      <c r="AX48" s="211">
        <f t="shared" si="55"/>
        <v>-170.55030376899424</v>
      </c>
      <c r="AY48" s="211">
        <f t="shared" si="55"/>
        <v>-170.55030376899424</v>
      </c>
      <c r="AZ48" s="211">
        <f t="shared" si="55"/>
        <v>-170.55030376899424</v>
      </c>
      <c r="BA48" s="211">
        <f t="shared" si="55"/>
        <v>-170.55030376899424</v>
      </c>
      <c r="BB48" s="211">
        <f t="shared" si="55"/>
        <v>-170.55030376899424</v>
      </c>
      <c r="BC48" s="211">
        <f t="shared" si="55"/>
        <v>-170.55030376899424</v>
      </c>
      <c r="BD48" s="211">
        <f t="shared" si="55"/>
        <v>-170.55030376899424</v>
      </c>
      <c r="BE48" s="211">
        <f t="shared" si="55"/>
        <v>6290.4267883629027</v>
      </c>
      <c r="BF48" s="211">
        <f t="shared" si="55"/>
        <v>6290.4267883629027</v>
      </c>
      <c r="BG48" s="211">
        <f t="shared" si="55"/>
        <v>6290.4267883629027</v>
      </c>
      <c r="BH48" s="211">
        <f t="shared" si="55"/>
        <v>6290.4267883629027</v>
      </c>
      <c r="BI48" s="211">
        <f t="shared" si="55"/>
        <v>6290.4267883629027</v>
      </c>
      <c r="BJ48" s="211">
        <f t="shared" si="55"/>
        <v>6290.4267883629027</v>
      </c>
      <c r="BK48" s="211">
        <f t="shared" si="55"/>
        <v>6290.4267883629027</v>
      </c>
      <c r="BL48" s="211">
        <f t="shared" si="55"/>
        <v>6290.4267883629027</v>
      </c>
      <c r="BM48" s="211">
        <f t="shared" si="55"/>
        <v>6290.4267883629027</v>
      </c>
      <c r="BN48" s="211">
        <f t="shared" si="55"/>
        <v>6290.4267883629027</v>
      </c>
      <c r="BO48" s="211">
        <f t="shared" si="55"/>
        <v>6290.4267883629027</v>
      </c>
      <c r="BP48" s="211">
        <f t="shared" si="55"/>
        <v>6290.4267883629027</v>
      </c>
      <c r="BQ48" s="211">
        <f t="shared" si="55"/>
        <v>6290.4267883629027</v>
      </c>
      <c r="BR48" s="211">
        <f t="shared" ref="BR48:DA48" si="56">IF(BR$22&lt;=$E$24,IF(BR$22&lt;=$D$24,IF(BR$22&lt;=$C$24,IF(BR$22&lt;=$B$24,$B114,($C31-$B31)/($C$24-$B$24)),($D31-$C31)/($D$24-$C$24)),($E31-$D31)/($E$24-$D$24)),$F114)</f>
        <v>6290.4267883629027</v>
      </c>
      <c r="BS48" s="211">
        <f t="shared" si="56"/>
        <v>6290.4267883629027</v>
      </c>
      <c r="BT48" s="211">
        <f t="shared" si="56"/>
        <v>6290.4267883629027</v>
      </c>
      <c r="BU48" s="211">
        <f t="shared" si="56"/>
        <v>6290.4267883629027</v>
      </c>
      <c r="BV48" s="211">
        <f t="shared" si="56"/>
        <v>6290.4267883629027</v>
      </c>
      <c r="BW48" s="211">
        <f t="shared" si="56"/>
        <v>6290.4267883629027</v>
      </c>
      <c r="BX48" s="211">
        <f t="shared" si="56"/>
        <v>6290.4267883629027</v>
      </c>
      <c r="BY48" s="211">
        <f t="shared" si="56"/>
        <v>6290.4267883629027</v>
      </c>
      <c r="BZ48" s="211">
        <f t="shared" si="56"/>
        <v>6290.4267883629027</v>
      </c>
      <c r="CA48" s="211">
        <f t="shared" si="56"/>
        <v>6290.4267883629027</v>
      </c>
      <c r="CB48" s="211">
        <f t="shared" si="56"/>
        <v>6290.4267883629027</v>
      </c>
      <c r="CC48" s="211">
        <f t="shared" si="56"/>
        <v>6290.4267883629027</v>
      </c>
      <c r="CD48" s="211">
        <f t="shared" si="56"/>
        <v>6290.4267883629027</v>
      </c>
      <c r="CE48" s="211">
        <f t="shared" si="56"/>
        <v>6290.4267883629027</v>
      </c>
      <c r="CF48" s="211">
        <f t="shared" si="56"/>
        <v>6290.4267883629027</v>
      </c>
      <c r="CG48" s="211">
        <f t="shared" si="56"/>
        <v>6290.4267883629027</v>
      </c>
      <c r="CH48" s="211">
        <f t="shared" si="56"/>
        <v>6290.4267883629027</v>
      </c>
      <c r="CI48" s="211">
        <f t="shared" si="56"/>
        <v>11279.38596534038</v>
      </c>
      <c r="CJ48" s="211">
        <f t="shared" si="56"/>
        <v>11279.38596534038</v>
      </c>
      <c r="CK48" s="211">
        <f t="shared" si="56"/>
        <v>11279.38596534038</v>
      </c>
      <c r="CL48" s="211">
        <f t="shared" si="56"/>
        <v>11279.38596534038</v>
      </c>
      <c r="CM48" s="211">
        <f t="shared" si="56"/>
        <v>11279.38596534038</v>
      </c>
      <c r="CN48" s="211">
        <f t="shared" si="56"/>
        <v>11279.38596534038</v>
      </c>
      <c r="CO48" s="211">
        <f t="shared" si="56"/>
        <v>11279.38596534038</v>
      </c>
      <c r="CP48" s="211">
        <f t="shared" si="56"/>
        <v>11279.38596534038</v>
      </c>
      <c r="CQ48" s="211">
        <f t="shared" si="56"/>
        <v>11279.38596534038</v>
      </c>
      <c r="CR48" s="211">
        <f t="shared" si="56"/>
        <v>11279.38596534038</v>
      </c>
      <c r="CS48" s="211">
        <f t="shared" si="56"/>
        <v>11279.38596534038</v>
      </c>
      <c r="CT48" s="211">
        <f t="shared" si="56"/>
        <v>11279.38596534038</v>
      </c>
      <c r="CU48" s="211">
        <f t="shared" si="56"/>
        <v>11279.38596534038</v>
      </c>
      <c r="CV48" s="211">
        <f t="shared" si="56"/>
        <v>11279.38596534038</v>
      </c>
      <c r="CW48" s="211">
        <f t="shared" si="56"/>
        <v>0</v>
      </c>
      <c r="CX48" s="211">
        <f t="shared" si="56"/>
        <v>0</v>
      </c>
      <c r="CY48" s="211">
        <f t="shared" si="56"/>
        <v>0</v>
      </c>
      <c r="CZ48" s="211">
        <f t="shared" si="56"/>
        <v>0</v>
      </c>
      <c r="DA48" s="211">
        <f t="shared" si="56"/>
        <v>0</v>
      </c>
    </row>
    <row r="49" spans="1:105">
      <c r="A49" s="202" t="str">
        <f>Income!A79</f>
        <v>Labour - formal emp</v>
      </c>
      <c r="F49" s="211">
        <f t="shared" ref="F49:AK49" si="57">IF(F$22&lt;=$E$24,IF(F$22&lt;=$D$24,IF(F$22&lt;=$C$24,IF(F$22&lt;=$B$24,$B115,($C32-$B32)/($C$24-$B$24)),($D32-$C32)/($D$24-$C$24)),($E32-$D32)/($E$24-$D$24)),$F115)</f>
        <v>0</v>
      </c>
      <c r="G49" s="211">
        <f t="shared" si="57"/>
        <v>0</v>
      </c>
      <c r="H49" s="211">
        <f t="shared" si="57"/>
        <v>0</v>
      </c>
      <c r="I49" s="211">
        <f t="shared" si="57"/>
        <v>0</v>
      </c>
      <c r="J49" s="211">
        <f t="shared" si="57"/>
        <v>0</v>
      </c>
      <c r="K49" s="211">
        <f t="shared" si="57"/>
        <v>0</v>
      </c>
      <c r="L49" s="211">
        <f t="shared" si="57"/>
        <v>0</v>
      </c>
      <c r="M49" s="211">
        <f t="shared" si="57"/>
        <v>0</v>
      </c>
      <c r="N49" s="211">
        <f t="shared" si="57"/>
        <v>0</v>
      </c>
      <c r="O49" s="211">
        <f t="shared" si="57"/>
        <v>0</v>
      </c>
      <c r="P49" s="211">
        <f t="shared" si="57"/>
        <v>0</v>
      </c>
      <c r="Q49" s="211">
        <f t="shared" si="57"/>
        <v>0</v>
      </c>
      <c r="R49" s="211">
        <f t="shared" si="57"/>
        <v>0</v>
      </c>
      <c r="S49" s="211">
        <f t="shared" si="57"/>
        <v>0</v>
      </c>
      <c r="T49" s="211">
        <f t="shared" si="57"/>
        <v>0</v>
      </c>
      <c r="U49" s="211">
        <f t="shared" si="57"/>
        <v>-165.38211274569136</v>
      </c>
      <c r="V49" s="211">
        <f t="shared" si="57"/>
        <v>-165.38211274569136</v>
      </c>
      <c r="W49" s="211">
        <f t="shared" si="57"/>
        <v>-165.38211274569136</v>
      </c>
      <c r="X49" s="211">
        <f t="shared" si="57"/>
        <v>-165.38211274569136</v>
      </c>
      <c r="Y49" s="211">
        <f t="shared" si="57"/>
        <v>-165.38211274569136</v>
      </c>
      <c r="Z49" s="211">
        <f t="shared" si="57"/>
        <v>-165.38211274569136</v>
      </c>
      <c r="AA49" s="211">
        <f t="shared" si="57"/>
        <v>-165.38211274569136</v>
      </c>
      <c r="AB49" s="211">
        <f t="shared" si="57"/>
        <v>-165.38211274569136</v>
      </c>
      <c r="AC49" s="211">
        <f t="shared" si="57"/>
        <v>-165.38211274569136</v>
      </c>
      <c r="AD49" s="211">
        <f t="shared" si="57"/>
        <v>-165.38211274569136</v>
      </c>
      <c r="AE49" s="211">
        <f t="shared" si="57"/>
        <v>-165.38211274569136</v>
      </c>
      <c r="AF49" s="211">
        <f t="shared" si="57"/>
        <v>-165.38211274569136</v>
      </c>
      <c r="AG49" s="211">
        <f t="shared" si="57"/>
        <v>-165.38211274569136</v>
      </c>
      <c r="AH49" s="211">
        <f t="shared" si="57"/>
        <v>-165.38211274569136</v>
      </c>
      <c r="AI49" s="211">
        <f t="shared" si="57"/>
        <v>-165.38211274569136</v>
      </c>
      <c r="AJ49" s="211">
        <f t="shared" si="57"/>
        <v>-165.38211274569136</v>
      </c>
      <c r="AK49" s="211">
        <f t="shared" si="57"/>
        <v>-165.38211274569136</v>
      </c>
      <c r="AL49" s="211">
        <f t="shared" ref="AL49:BQ49" si="58">IF(AL$22&lt;=$E$24,IF(AL$22&lt;=$D$24,IF(AL$22&lt;=$C$24,IF(AL$22&lt;=$B$24,$B115,($C32-$B32)/($C$24-$B$24)),($D32-$C32)/($D$24-$C$24)),($E32-$D32)/($E$24-$D$24)),$F115)</f>
        <v>-165.38211274569136</v>
      </c>
      <c r="AM49" s="211">
        <f t="shared" si="58"/>
        <v>-165.38211274569136</v>
      </c>
      <c r="AN49" s="211">
        <f t="shared" si="58"/>
        <v>-165.38211274569136</v>
      </c>
      <c r="AO49" s="211">
        <f t="shared" si="58"/>
        <v>-165.38211274569136</v>
      </c>
      <c r="AP49" s="211">
        <f t="shared" si="58"/>
        <v>-165.38211274569136</v>
      </c>
      <c r="AQ49" s="211">
        <f t="shared" si="58"/>
        <v>-165.38211274569136</v>
      </c>
      <c r="AR49" s="211">
        <f t="shared" si="58"/>
        <v>-165.38211274569136</v>
      </c>
      <c r="AS49" s="211">
        <f t="shared" si="58"/>
        <v>-165.38211274569136</v>
      </c>
      <c r="AT49" s="211">
        <f t="shared" si="58"/>
        <v>-165.38211274569136</v>
      </c>
      <c r="AU49" s="211">
        <f t="shared" si="58"/>
        <v>-165.38211274569136</v>
      </c>
      <c r="AV49" s="211">
        <f t="shared" si="58"/>
        <v>-165.38211274569136</v>
      </c>
      <c r="AW49" s="211">
        <f t="shared" si="58"/>
        <v>-165.38211274569136</v>
      </c>
      <c r="AX49" s="211">
        <f t="shared" si="58"/>
        <v>-165.38211274569136</v>
      </c>
      <c r="AY49" s="211">
        <f t="shared" si="58"/>
        <v>-165.38211274569136</v>
      </c>
      <c r="AZ49" s="211">
        <f t="shared" si="58"/>
        <v>-165.38211274569136</v>
      </c>
      <c r="BA49" s="211">
        <f t="shared" si="58"/>
        <v>-165.38211274569136</v>
      </c>
      <c r="BB49" s="211">
        <f t="shared" si="58"/>
        <v>-165.38211274569136</v>
      </c>
      <c r="BC49" s="211">
        <f t="shared" si="58"/>
        <v>-165.38211274569136</v>
      </c>
      <c r="BD49" s="211">
        <f t="shared" si="58"/>
        <v>-165.38211274569136</v>
      </c>
      <c r="BE49" s="211">
        <f t="shared" si="58"/>
        <v>0</v>
      </c>
      <c r="BF49" s="211">
        <f t="shared" si="58"/>
        <v>0</v>
      </c>
      <c r="BG49" s="211">
        <f t="shared" si="58"/>
        <v>0</v>
      </c>
      <c r="BH49" s="211">
        <f t="shared" si="58"/>
        <v>0</v>
      </c>
      <c r="BI49" s="211">
        <f t="shared" si="58"/>
        <v>0</v>
      </c>
      <c r="BJ49" s="211">
        <f t="shared" si="58"/>
        <v>0</v>
      </c>
      <c r="BK49" s="211">
        <f t="shared" si="58"/>
        <v>0</v>
      </c>
      <c r="BL49" s="211">
        <f t="shared" si="58"/>
        <v>0</v>
      </c>
      <c r="BM49" s="211">
        <f t="shared" si="58"/>
        <v>0</v>
      </c>
      <c r="BN49" s="211">
        <f t="shared" si="58"/>
        <v>0</v>
      </c>
      <c r="BO49" s="211">
        <f t="shared" si="58"/>
        <v>0</v>
      </c>
      <c r="BP49" s="211">
        <f t="shared" si="58"/>
        <v>0</v>
      </c>
      <c r="BQ49" s="211">
        <f t="shared" si="58"/>
        <v>0</v>
      </c>
      <c r="BR49" s="211">
        <f t="shared" ref="BR49:DA49" si="59">IF(BR$22&lt;=$E$24,IF(BR$22&lt;=$D$24,IF(BR$22&lt;=$C$24,IF(BR$22&lt;=$B$24,$B115,($C32-$B32)/($C$24-$B$24)),($D32-$C32)/($D$24-$C$24)),($E32-$D32)/($E$24-$D$24)),$F115)</f>
        <v>0</v>
      </c>
      <c r="BS49" s="211">
        <f t="shared" si="59"/>
        <v>0</v>
      </c>
      <c r="BT49" s="211">
        <f t="shared" si="59"/>
        <v>0</v>
      </c>
      <c r="BU49" s="211">
        <f t="shared" si="59"/>
        <v>0</v>
      </c>
      <c r="BV49" s="211">
        <f t="shared" si="59"/>
        <v>0</v>
      </c>
      <c r="BW49" s="211">
        <f t="shared" si="59"/>
        <v>0</v>
      </c>
      <c r="BX49" s="211">
        <f t="shared" si="59"/>
        <v>0</v>
      </c>
      <c r="BY49" s="211">
        <f t="shared" si="59"/>
        <v>0</v>
      </c>
      <c r="BZ49" s="211">
        <f t="shared" si="59"/>
        <v>0</v>
      </c>
      <c r="CA49" s="211">
        <f t="shared" si="59"/>
        <v>0</v>
      </c>
      <c r="CB49" s="211">
        <f t="shared" si="59"/>
        <v>0</v>
      </c>
      <c r="CC49" s="211">
        <f t="shared" si="59"/>
        <v>0</v>
      </c>
      <c r="CD49" s="211">
        <f t="shared" si="59"/>
        <v>0</v>
      </c>
      <c r="CE49" s="211">
        <f t="shared" si="59"/>
        <v>0</v>
      </c>
      <c r="CF49" s="211">
        <f t="shared" si="59"/>
        <v>0</v>
      </c>
      <c r="CG49" s="211">
        <f t="shared" si="59"/>
        <v>0</v>
      </c>
      <c r="CH49" s="211">
        <f t="shared" si="59"/>
        <v>0</v>
      </c>
      <c r="CI49" s="211">
        <f t="shared" si="59"/>
        <v>4049.0103465324432</v>
      </c>
      <c r="CJ49" s="211">
        <f t="shared" si="59"/>
        <v>4049.0103465324432</v>
      </c>
      <c r="CK49" s="211">
        <f t="shared" si="59"/>
        <v>4049.0103465324432</v>
      </c>
      <c r="CL49" s="211">
        <f t="shared" si="59"/>
        <v>4049.0103465324432</v>
      </c>
      <c r="CM49" s="211">
        <f t="shared" si="59"/>
        <v>4049.0103465324432</v>
      </c>
      <c r="CN49" s="211">
        <f t="shared" si="59"/>
        <v>4049.0103465324432</v>
      </c>
      <c r="CO49" s="211">
        <f t="shared" si="59"/>
        <v>4049.0103465324432</v>
      </c>
      <c r="CP49" s="211">
        <f t="shared" si="59"/>
        <v>4049.0103465324432</v>
      </c>
      <c r="CQ49" s="211">
        <f t="shared" si="59"/>
        <v>4049.0103465324432</v>
      </c>
      <c r="CR49" s="211">
        <f t="shared" si="59"/>
        <v>4049.0103465324432</v>
      </c>
      <c r="CS49" s="211">
        <f t="shared" si="59"/>
        <v>4049.0103465324432</v>
      </c>
      <c r="CT49" s="211">
        <f t="shared" si="59"/>
        <v>4049.0103465324432</v>
      </c>
      <c r="CU49" s="211">
        <f t="shared" si="59"/>
        <v>4049.0103465324432</v>
      </c>
      <c r="CV49" s="211">
        <f t="shared" si="59"/>
        <v>4049.0103465324432</v>
      </c>
      <c r="CW49" s="211">
        <f t="shared" si="59"/>
        <v>2671.7</v>
      </c>
      <c r="CX49" s="211">
        <f t="shared" si="59"/>
        <v>2671.7</v>
      </c>
      <c r="CY49" s="211">
        <f t="shared" si="59"/>
        <v>2671.7</v>
      </c>
      <c r="CZ49" s="211">
        <f t="shared" si="59"/>
        <v>2671.7</v>
      </c>
      <c r="DA49" s="211">
        <f t="shared" si="59"/>
        <v>2671.7</v>
      </c>
    </row>
    <row r="50" spans="1:105">
      <c r="A50" s="202" t="str">
        <f>Income!A81</f>
        <v>Self - employment</v>
      </c>
      <c r="F50" s="211">
        <f t="shared" ref="F50:AK50" si="60">IF(F$22&lt;=$E$24,IF(F$22&lt;=$D$24,IF(F$22&lt;=$C$24,IF(F$22&lt;=$B$24,$B116,($C33-$B33)/($C$24-$B$24)),($D33-$C33)/($D$24-$C$24)),($E33-$D33)/($E$24-$D$24)),$F116)</f>
        <v>0</v>
      </c>
      <c r="G50" s="211">
        <f t="shared" si="60"/>
        <v>0</v>
      </c>
      <c r="H50" s="211">
        <f t="shared" si="60"/>
        <v>0</v>
      </c>
      <c r="I50" s="211">
        <f t="shared" si="60"/>
        <v>0</v>
      </c>
      <c r="J50" s="211">
        <f t="shared" si="60"/>
        <v>0</v>
      </c>
      <c r="K50" s="211">
        <f t="shared" si="60"/>
        <v>0</v>
      </c>
      <c r="L50" s="211">
        <f t="shared" si="60"/>
        <v>0</v>
      </c>
      <c r="M50" s="211">
        <f t="shared" si="60"/>
        <v>0</v>
      </c>
      <c r="N50" s="211">
        <f t="shared" si="60"/>
        <v>0</v>
      </c>
      <c r="O50" s="211">
        <f t="shared" si="60"/>
        <v>0</v>
      </c>
      <c r="P50" s="211">
        <f t="shared" si="60"/>
        <v>0</v>
      </c>
      <c r="Q50" s="211">
        <f t="shared" si="60"/>
        <v>0</v>
      </c>
      <c r="R50" s="211">
        <f t="shared" si="60"/>
        <v>0</v>
      </c>
      <c r="S50" s="211">
        <f t="shared" si="60"/>
        <v>0</v>
      </c>
      <c r="T50" s="211">
        <f t="shared" si="60"/>
        <v>0</v>
      </c>
      <c r="U50" s="211">
        <f t="shared" si="60"/>
        <v>0</v>
      </c>
      <c r="V50" s="211">
        <f t="shared" si="60"/>
        <v>0</v>
      </c>
      <c r="W50" s="211">
        <f t="shared" si="60"/>
        <v>0</v>
      </c>
      <c r="X50" s="211">
        <f t="shared" si="60"/>
        <v>0</v>
      </c>
      <c r="Y50" s="211">
        <f t="shared" si="60"/>
        <v>0</v>
      </c>
      <c r="Z50" s="211">
        <f t="shared" si="60"/>
        <v>0</v>
      </c>
      <c r="AA50" s="211">
        <f t="shared" si="60"/>
        <v>0</v>
      </c>
      <c r="AB50" s="211">
        <f t="shared" si="60"/>
        <v>0</v>
      </c>
      <c r="AC50" s="211">
        <f t="shared" si="60"/>
        <v>0</v>
      </c>
      <c r="AD50" s="211">
        <f t="shared" si="60"/>
        <v>0</v>
      </c>
      <c r="AE50" s="211">
        <f t="shared" si="60"/>
        <v>0</v>
      </c>
      <c r="AF50" s="211">
        <f t="shared" si="60"/>
        <v>0</v>
      </c>
      <c r="AG50" s="211">
        <f t="shared" si="60"/>
        <v>0</v>
      </c>
      <c r="AH50" s="211">
        <f t="shared" si="60"/>
        <v>0</v>
      </c>
      <c r="AI50" s="211">
        <f t="shared" si="60"/>
        <v>0</v>
      </c>
      <c r="AJ50" s="211">
        <f t="shared" si="60"/>
        <v>0</v>
      </c>
      <c r="AK50" s="211">
        <f t="shared" si="60"/>
        <v>0</v>
      </c>
      <c r="AL50" s="211">
        <f t="shared" ref="AL50:BQ50" si="61">IF(AL$22&lt;=$E$24,IF(AL$22&lt;=$D$24,IF(AL$22&lt;=$C$24,IF(AL$22&lt;=$B$24,$B116,($C33-$B33)/($C$24-$B$24)),($D33-$C33)/($D$24-$C$24)),($E33-$D33)/($E$24-$D$24)),$F116)</f>
        <v>0</v>
      </c>
      <c r="AM50" s="211">
        <f t="shared" si="61"/>
        <v>0</v>
      </c>
      <c r="AN50" s="211">
        <f t="shared" si="61"/>
        <v>0</v>
      </c>
      <c r="AO50" s="211">
        <f t="shared" si="61"/>
        <v>0</v>
      </c>
      <c r="AP50" s="211">
        <f t="shared" si="61"/>
        <v>0</v>
      </c>
      <c r="AQ50" s="211">
        <f t="shared" si="61"/>
        <v>0</v>
      </c>
      <c r="AR50" s="211">
        <f t="shared" si="61"/>
        <v>0</v>
      </c>
      <c r="AS50" s="211">
        <f t="shared" si="61"/>
        <v>0</v>
      </c>
      <c r="AT50" s="211">
        <f t="shared" si="61"/>
        <v>0</v>
      </c>
      <c r="AU50" s="211">
        <f t="shared" si="61"/>
        <v>0</v>
      </c>
      <c r="AV50" s="211">
        <f t="shared" si="61"/>
        <v>0</v>
      </c>
      <c r="AW50" s="211">
        <f t="shared" si="61"/>
        <v>0</v>
      </c>
      <c r="AX50" s="211">
        <f t="shared" si="61"/>
        <v>0</v>
      </c>
      <c r="AY50" s="211">
        <f t="shared" si="61"/>
        <v>0</v>
      </c>
      <c r="AZ50" s="211">
        <f t="shared" si="61"/>
        <v>0</v>
      </c>
      <c r="BA50" s="211">
        <f t="shared" si="61"/>
        <v>0</v>
      </c>
      <c r="BB50" s="211">
        <f t="shared" si="61"/>
        <v>0</v>
      </c>
      <c r="BC50" s="211">
        <f t="shared" si="61"/>
        <v>0</v>
      </c>
      <c r="BD50" s="211">
        <f t="shared" si="61"/>
        <v>0</v>
      </c>
      <c r="BE50" s="211">
        <f t="shared" si="61"/>
        <v>0</v>
      </c>
      <c r="BF50" s="211">
        <f t="shared" si="61"/>
        <v>0</v>
      </c>
      <c r="BG50" s="211">
        <f t="shared" si="61"/>
        <v>0</v>
      </c>
      <c r="BH50" s="211">
        <f t="shared" si="61"/>
        <v>0</v>
      </c>
      <c r="BI50" s="211">
        <f t="shared" si="61"/>
        <v>0</v>
      </c>
      <c r="BJ50" s="211">
        <f t="shared" si="61"/>
        <v>0</v>
      </c>
      <c r="BK50" s="211">
        <f t="shared" si="61"/>
        <v>0</v>
      </c>
      <c r="BL50" s="211">
        <f t="shared" si="61"/>
        <v>0</v>
      </c>
      <c r="BM50" s="211">
        <f t="shared" si="61"/>
        <v>0</v>
      </c>
      <c r="BN50" s="211">
        <f t="shared" si="61"/>
        <v>0</v>
      </c>
      <c r="BO50" s="211">
        <f t="shared" si="61"/>
        <v>0</v>
      </c>
      <c r="BP50" s="211">
        <f t="shared" si="61"/>
        <v>0</v>
      </c>
      <c r="BQ50" s="211">
        <f t="shared" si="61"/>
        <v>0</v>
      </c>
      <c r="BR50" s="211">
        <f t="shared" ref="BR50:DA50" si="62">IF(BR$22&lt;=$E$24,IF(BR$22&lt;=$D$24,IF(BR$22&lt;=$C$24,IF(BR$22&lt;=$B$24,$B116,($C33-$B33)/($C$24-$B$24)),($D33-$C33)/($D$24-$C$24)),($E33-$D33)/($E$24-$D$24)),$F116)</f>
        <v>0</v>
      </c>
      <c r="BS50" s="211">
        <f t="shared" si="62"/>
        <v>0</v>
      </c>
      <c r="BT50" s="211">
        <f t="shared" si="62"/>
        <v>0</v>
      </c>
      <c r="BU50" s="211">
        <f t="shared" si="62"/>
        <v>0</v>
      </c>
      <c r="BV50" s="211">
        <f t="shared" si="62"/>
        <v>0</v>
      </c>
      <c r="BW50" s="211">
        <f t="shared" si="62"/>
        <v>0</v>
      </c>
      <c r="BX50" s="211">
        <f t="shared" si="62"/>
        <v>0</v>
      </c>
      <c r="BY50" s="211">
        <f t="shared" si="62"/>
        <v>0</v>
      </c>
      <c r="BZ50" s="211">
        <f t="shared" si="62"/>
        <v>0</v>
      </c>
      <c r="CA50" s="211">
        <f t="shared" si="62"/>
        <v>0</v>
      </c>
      <c r="CB50" s="211">
        <f t="shared" si="62"/>
        <v>0</v>
      </c>
      <c r="CC50" s="211">
        <f t="shared" si="62"/>
        <v>0</v>
      </c>
      <c r="CD50" s="211">
        <f t="shared" si="62"/>
        <v>0</v>
      </c>
      <c r="CE50" s="211">
        <f t="shared" si="62"/>
        <v>0</v>
      </c>
      <c r="CF50" s="211">
        <f t="shared" si="62"/>
        <v>0</v>
      </c>
      <c r="CG50" s="211">
        <f t="shared" si="62"/>
        <v>0</v>
      </c>
      <c r="CH50" s="211">
        <f t="shared" si="62"/>
        <v>0</v>
      </c>
      <c r="CI50" s="211">
        <f t="shared" si="62"/>
        <v>0</v>
      </c>
      <c r="CJ50" s="211">
        <f t="shared" si="62"/>
        <v>0</v>
      </c>
      <c r="CK50" s="211">
        <f t="shared" si="62"/>
        <v>0</v>
      </c>
      <c r="CL50" s="211">
        <f t="shared" si="62"/>
        <v>0</v>
      </c>
      <c r="CM50" s="211">
        <f t="shared" si="62"/>
        <v>0</v>
      </c>
      <c r="CN50" s="211">
        <f t="shared" si="62"/>
        <v>0</v>
      </c>
      <c r="CO50" s="211">
        <f t="shared" si="62"/>
        <v>0</v>
      </c>
      <c r="CP50" s="211">
        <f t="shared" si="62"/>
        <v>0</v>
      </c>
      <c r="CQ50" s="211">
        <f t="shared" si="62"/>
        <v>0</v>
      </c>
      <c r="CR50" s="211">
        <f t="shared" si="62"/>
        <v>0</v>
      </c>
      <c r="CS50" s="211">
        <f t="shared" si="62"/>
        <v>0</v>
      </c>
      <c r="CT50" s="211">
        <f t="shared" si="62"/>
        <v>0</v>
      </c>
      <c r="CU50" s="211">
        <f t="shared" si="62"/>
        <v>0</v>
      </c>
      <c r="CV50" s="211">
        <f t="shared" si="62"/>
        <v>0</v>
      </c>
      <c r="CW50" s="211">
        <f t="shared" si="62"/>
        <v>829.53</v>
      </c>
      <c r="CX50" s="211">
        <f t="shared" si="62"/>
        <v>829.53</v>
      </c>
      <c r="CY50" s="211">
        <f t="shared" si="62"/>
        <v>829.53</v>
      </c>
      <c r="CZ50" s="211">
        <f t="shared" si="62"/>
        <v>829.53</v>
      </c>
      <c r="DA50" s="211">
        <f t="shared" si="62"/>
        <v>829.53</v>
      </c>
    </row>
    <row r="51" spans="1:105">
      <c r="A51" s="202" t="str">
        <f>Income!A82</f>
        <v>Small business/petty trading</v>
      </c>
      <c r="F51" s="211">
        <f t="shared" ref="F51:AK51" si="63">IF(F$22&lt;=$E$24,IF(F$22&lt;=$D$24,IF(F$22&lt;=$C$24,IF(F$22&lt;=$B$24,$B117,($C34-$B34)/($C$24-$B$24)),($D34-$C34)/($D$24-$C$24)),($E34-$D34)/($E$24-$D$24)),$F117)</f>
        <v>0</v>
      </c>
      <c r="G51" s="211">
        <f t="shared" si="63"/>
        <v>0</v>
      </c>
      <c r="H51" s="211">
        <f t="shared" si="63"/>
        <v>0</v>
      </c>
      <c r="I51" s="211">
        <f t="shared" si="63"/>
        <v>0</v>
      </c>
      <c r="J51" s="211">
        <f t="shared" si="63"/>
        <v>0</v>
      </c>
      <c r="K51" s="211">
        <f t="shared" si="63"/>
        <v>0</v>
      </c>
      <c r="L51" s="211">
        <f t="shared" si="63"/>
        <v>0</v>
      </c>
      <c r="M51" s="211">
        <f t="shared" si="63"/>
        <v>0</v>
      </c>
      <c r="N51" s="211">
        <f t="shared" si="63"/>
        <v>0</v>
      </c>
      <c r="O51" s="211">
        <f t="shared" si="63"/>
        <v>0</v>
      </c>
      <c r="P51" s="211">
        <f t="shared" si="63"/>
        <v>0</v>
      </c>
      <c r="Q51" s="211">
        <f t="shared" si="63"/>
        <v>0</v>
      </c>
      <c r="R51" s="211">
        <f t="shared" si="63"/>
        <v>0</v>
      </c>
      <c r="S51" s="211">
        <f t="shared" si="63"/>
        <v>0</v>
      </c>
      <c r="T51" s="211">
        <f t="shared" si="63"/>
        <v>0</v>
      </c>
      <c r="U51" s="211">
        <f t="shared" si="63"/>
        <v>723.54674326239967</v>
      </c>
      <c r="V51" s="211">
        <f t="shared" si="63"/>
        <v>723.54674326239967</v>
      </c>
      <c r="W51" s="211">
        <f t="shared" si="63"/>
        <v>723.54674326239967</v>
      </c>
      <c r="X51" s="211">
        <f t="shared" si="63"/>
        <v>723.54674326239967</v>
      </c>
      <c r="Y51" s="211">
        <f t="shared" si="63"/>
        <v>723.54674326239967</v>
      </c>
      <c r="Z51" s="211">
        <f t="shared" si="63"/>
        <v>723.54674326239967</v>
      </c>
      <c r="AA51" s="211">
        <f t="shared" si="63"/>
        <v>723.54674326239967</v>
      </c>
      <c r="AB51" s="211">
        <f t="shared" si="63"/>
        <v>723.54674326239967</v>
      </c>
      <c r="AC51" s="211">
        <f t="shared" si="63"/>
        <v>723.54674326239967</v>
      </c>
      <c r="AD51" s="211">
        <f t="shared" si="63"/>
        <v>723.54674326239967</v>
      </c>
      <c r="AE51" s="211">
        <f t="shared" si="63"/>
        <v>723.54674326239967</v>
      </c>
      <c r="AF51" s="211">
        <f t="shared" si="63"/>
        <v>723.54674326239967</v>
      </c>
      <c r="AG51" s="211">
        <f t="shared" si="63"/>
        <v>723.54674326239967</v>
      </c>
      <c r="AH51" s="211">
        <f t="shared" si="63"/>
        <v>723.54674326239967</v>
      </c>
      <c r="AI51" s="211">
        <f t="shared" si="63"/>
        <v>723.54674326239967</v>
      </c>
      <c r="AJ51" s="211">
        <f t="shared" si="63"/>
        <v>723.54674326239967</v>
      </c>
      <c r="AK51" s="211">
        <f t="shared" si="63"/>
        <v>723.54674326239967</v>
      </c>
      <c r="AL51" s="211">
        <f t="shared" ref="AL51:BQ51" si="64">IF(AL$22&lt;=$E$24,IF(AL$22&lt;=$D$24,IF(AL$22&lt;=$C$24,IF(AL$22&lt;=$B$24,$B117,($C34-$B34)/($C$24-$B$24)),($D34-$C34)/($D$24-$C$24)),($E34-$D34)/($E$24-$D$24)),$F117)</f>
        <v>723.54674326239967</v>
      </c>
      <c r="AM51" s="211">
        <f t="shared" si="64"/>
        <v>723.54674326239967</v>
      </c>
      <c r="AN51" s="211">
        <f t="shared" si="64"/>
        <v>723.54674326239967</v>
      </c>
      <c r="AO51" s="211">
        <f t="shared" si="64"/>
        <v>723.54674326239967</v>
      </c>
      <c r="AP51" s="211">
        <f t="shared" si="64"/>
        <v>723.54674326239967</v>
      </c>
      <c r="AQ51" s="211">
        <f t="shared" si="64"/>
        <v>723.54674326239967</v>
      </c>
      <c r="AR51" s="211">
        <f t="shared" si="64"/>
        <v>723.54674326239967</v>
      </c>
      <c r="AS51" s="211">
        <f t="shared" si="64"/>
        <v>723.54674326239967</v>
      </c>
      <c r="AT51" s="211">
        <f t="shared" si="64"/>
        <v>723.54674326239967</v>
      </c>
      <c r="AU51" s="211">
        <f t="shared" si="64"/>
        <v>723.54674326239967</v>
      </c>
      <c r="AV51" s="211">
        <f t="shared" si="64"/>
        <v>723.54674326239967</v>
      </c>
      <c r="AW51" s="211">
        <f t="shared" si="64"/>
        <v>723.54674326239967</v>
      </c>
      <c r="AX51" s="211">
        <f t="shared" si="64"/>
        <v>723.54674326239967</v>
      </c>
      <c r="AY51" s="211">
        <f t="shared" si="64"/>
        <v>723.54674326239967</v>
      </c>
      <c r="AZ51" s="211">
        <f t="shared" si="64"/>
        <v>723.54674326239967</v>
      </c>
      <c r="BA51" s="211">
        <f t="shared" si="64"/>
        <v>723.54674326239967</v>
      </c>
      <c r="BB51" s="211">
        <f t="shared" si="64"/>
        <v>723.54674326239967</v>
      </c>
      <c r="BC51" s="211">
        <f t="shared" si="64"/>
        <v>723.54674326239967</v>
      </c>
      <c r="BD51" s="211">
        <f t="shared" si="64"/>
        <v>723.54674326239967</v>
      </c>
      <c r="BE51" s="211">
        <f t="shared" si="64"/>
        <v>-1174.2130004944086</v>
      </c>
      <c r="BF51" s="211">
        <f t="shared" si="64"/>
        <v>-1174.2130004944086</v>
      </c>
      <c r="BG51" s="211">
        <f t="shared" si="64"/>
        <v>-1174.2130004944086</v>
      </c>
      <c r="BH51" s="211">
        <f t="shared" si="64"/>
        <v>-1174.2130004944086</v>
      </c>
      <c r="BI51" s="211">
        <f t="shared" si="64"/>
        <v>-1174.2130004944086</v>
      </c>
      <c r="BJ51" s="211">
        <f t="shared" si="64"/>
        <v>-1174.2130004944086</v>
      </c>
      <c r="BK51" s="211">
        <f t="shared" si="64"/>
        <v>-1174.2130004944086</v>
      </c>
      <c r="BL51" s="211">
        <f t="shared" si="64"/>
        <v>-1174.2130004944086</v>
      </c>
      <c r="BM51" s="211">
        <f t="shared" si="64"/>
        <v>-1174.2130004944086</v>
      </c>
      <c r="BN51" s="211">
        <f t="shared" si="64"/>
        <v>-1174.2130004944086</v>
      </c>
      <c r="BO51" s="211">
        <f t="shared" si="64"/>
        <v>-1174.2130004944086</v>
      </c>
      <c r="BP51" s="211">
        <f t="shared" si="64"/>
        <v>-1174.2130004944086</v>
      </c>
      <c r="BQ51" s="211">
        <f t="shared" si="64"/>
        <v>-1174.2130004944086</v>
      </c>
      <c r="BR51" s="211">
        <f t="shared" ref="BR51:DA51" si="65">IF(BR$22&lt;=$E$24,IF(BR$22&lt;=$D$24,IF(BR$22&lt;=$C$24,IF(BR$22&lt;=$B$24,$B117,($C34-$B34)/($C$24-$B$24)),($D34-$C34)/($D$24-$C$24)),($E34-$D34)/($E$24-$D$24)),$F117)</f>
        <v>-1174.2130004944086</v>
      </c>
      <c r="BS51" s="211">
        <f t="shared" si="65"/>
        <v>-1174.2130004944086</v>
      </c>
      <c r="BT51" s="211">
        <f t="shared" si="65"/>
        <v>-1174.2130004944086</v>
      </c>
      <c r="BU51" s="211">
        <f t="shared" si="65"/>
        <v>-1174.2130004944086</v>
      </c>
      <c r="BV51" s="211">
        <f t="shared" si="65"/>
        <v>-1174.2130004944086</v>
      </c>
      <c r="BW51" s="211">
        <f t="shared" si="65"/>
        <v>-1174.2130004944086</v>
      </c>
      <c r="BX51" s="211">
        <f t="shared" si="65"/>
        <v>-1174.2130004944086</v>
      </c>
      <c r="BY51" s="211">
        <f t="shared" si="65"/>
        <v>-1174.2130004944086</v>
      </c>
      <c r="BZ51" s="211">
        <f t="shared" si="65"/>
        <v>-1174.2130004944086</v>
      </c>
      <c r="CA51" s="211">
        <f t="shared" si="65"/>
        <v>-1174.2130004944086</v>
      </c>
      <c r="CB51" s="211">
        <f t="shared" si="65"/>
        <v>-1174.2130004944086</v>
      </c>
      <c r="CC51" s="211">
        <f t="shared" si="65"/>
        <v>-1174.2130004944086</v>
      </c>
      <c r="CD51" s="211">
        <f t="shared" si="65"/>
        <v>-1174.2130004944086</v>
      </c>
      <c r="CE51" s="211">
        <f t="shared" si="65"/>
        <v>-1174.2130004944086</v>
      </c>
      <c r="CF51" s="211">
        <f t="shared" si="65"/>
        <v>-1174.2130004944086</v>
      </c>
      <c r="CG51" s="211">
        <f t="shared" si="65"/>
        <v>-1174.2130004944086</v>
      </c>
      <c r="CH51" s="211">
        <f t="shared" si="65"/>
        <v>-1174.2130004944086</v>
      </c>
      <c r="CI51" s="211">
        <f t="shared" si="65"/>
        <v>404.90103465324427</v>
      </c>
      <c r="CJ51" s="211">
        <f t="shared" si="65"/>
        <v>404.90103465324427</v>
      </c>
      <c r="CK51" s="211">
        <f t="shared" si="65"/>
        <v>404.90103465324427</v>
      </c>
      <c r="CL51" s="211">
        <f t="shared" si="65"/>
        <v>404.90103465324427</v>
      </c>
      <c r="CM51" s="211">
        <f t="shared" si="65"/>
        <v>404.90103465324427</v>
      </c>
      <c r="CN51" s="211">
        <f t="shared" si="65"/>
        <v>404.90103465324427</v>
      </c>
      <c r="CO51" s="211">
        <f t="shared" si="65"/>
        <v>404.90103465324427</v>
      </c>
      <c r="CP51" s="211">
        <f t="shared" si="65"/>
        <v>404.90103465324427</v>
      </c>
      <c r="CQ51" s="211">
        <f t="shared" si="65"/>
        <v>404.90103465324427</v>
      </c>
      <c r="CR51" s="211">
        <f t="shared" si="65"/>
        <v>404.90103465324427</v>
      </c>
      <c r="CS51" s="211">
        <f t="shared" si="65"/>
        <v>404.90103465324427</v>
      </c>
      <c r="CT51" s="211">
        <f t="shared" si="65"/>
        <v>404.90103465324427</v>
      </c>
      <c r="CU51" s="211">
        <f t="shared" si="65"/>
        <v>404.90103465324427</v>
      </c>
      <c r="CV51" s="211">
        <f t="shared" si="65"/>
        <v>404.90103465324427</v>
      </c>
      <c r="CW51" s="211">
        <f t="shared" si="65"/>
        <v>6203.5</v>
      </c>
      <c r="CX51" s="211">
        <f t="shared" si="65"/>
        <v>6203.5</v>
      </c>
      <c r="CY51" s="211">
        <f t="shared" si="65"/>
        <v>6203.5</v>
      </c>
      <c r="CZ51" s="211">
        <f t="shared" si="65"/>
        <v>6203.5</v>
      </c>
      <c r="DA51" s="211">
        <f t="shared" si="65"/>
        <v>6203.5</v>
      </c>
    </row>
    <row r="52" spans="1:105">
      <c r="A52" s="202" t="str">
        <f>Income!A83</f>
        <v>Food transfer - official</v>
      </c>
      <c r="F52" s="211">
        <f t="shared" ref="F52:AK52" si="66">IF(F$22&lt;=$E$24,IF(F$22&lt;=$D$24,IF(F$22&lt;=$C$24,IF(F$22&lt;=$B$24,$B118,($C35-$B35)/($C$24-$B$24)),($D35-$C35)/($D$24-$C$24)),($E35-$D35)/($E$24-$D$24)),$F118)</f>
        <v>0</v>
      </c>
      <c r="G52" s="211">
        <f t="shared" si="66"/>
        <v>0</v>
      </c>
      <c r="H52" s="211">
        <f t="shared" si="66"/>
        <v>0</v>
      </c>
      <c r="I52" s="211">
        <f t="shared" si="66"/>
        <v>0</v>
      </c>
      <c r="J52" s="211">
        <f t="shared" si="66"/>
        <v>0</v>
      </c>
      <c r="K52" s="211">
        <f t="shared" si="66"/>
        <v>0</v>
      </c>
      <c r="L52" s="211">
        <f t="shared" si="66"/>
        <v>0</v>
      </c>
      <c r="M52" s="211">
        <f t="shared" si="66"/>
        <v>0</v>
      </c>
      <c r="N52" s="211">
        <f t="shared" si="66"/>
        <v>0</v>
      </c>
      <c r="O52" s="211">
        <f t="shared" si="66"/>
        <v>0</v>
      </c>
      <c r="P52" s="211">
        <f t="shared" si="66"/>
        <v>0</v>
      </c>
      <c r="Q52" s="211">
        <f t="shared" si="66"/>
        <v>0</v>
      </c>
      <c r="R52" s="211">
        <f t="shared" si="66"/>
        <v>0</v>
      </c>
      <c r="S52" s="211">
        <f t="shared" si="66"/>
        <v>0</v>
      </c>
      <c r="T52" s="211">
        <f t="shared" si="66"/>
        <v>0</v>
      </c>
      <c r="U52" s="211">
        <f t="shared" si="66"/>
        <v>7.8660805520248944</v>
      </c>
      <c r="V52" s="211">
        <f t="shared" si="66"/>
        <v>7.8660805520248944</v>
      </c>
      <c r="W52" s="211">
        <f t="shared" si="66"/>
        <v>7.8660805520248944</v>
      </c>
      <c r="X52" s="211">
        <f t="shared" si="66"/>
        <v>7.8660805520248944</v>
      </c>
      <c r="Y52" s="211">
        <f t="shared" si="66"/>
        <v>7.8660805520248944</v>
      </c>
      <c r="Z52" s="211">
        <f t="shared" si="66"/>
        <v>7.8660805520248944</v>
      </c>
      <c r="AA52" s="211">
        <f t="shared" si="66"/>
        <v>7.8660805520248944</v>
      </c>
      <c r="AB52" s="211">
        <f t="shared" si="66"/>
        <v>7.8660805520248944</v>
      </c>
      <c r="AC52" s="211">
        <f t="shared" si="66"/>
        <v>7.8660805520248944</v>
      </c>
      <c r="AD52" s="211">
        <f t="shared" si="66"/>
        <v>7.8660805520248944</v>
      </c>
      <c r="AE52" s="211">
        <f t="shared" si="66"/>
        <v>7.8660805520248944</v>
      </c>
      <c r="AF52" s="211">
        <f t="shared" si="66"/>
        <v>7.8660805520248944</v>
      </c>
      <c r="AG52" s="211">
        <f t="shared" si="66"/>
        <v>7.8660805520248944</v>
      </c>
      <c r="AH52" s="211">
        <f t="shared" si="66"/>
        <v>7.8660805520248944</v>
      </c>
      <c r="AI52" s="211">
        <f t="shared" si="66"/>
        <v>7.8660805520248944</v>
      </c>
      <c r="AJ52" s="211">
        <f t="shared" si="66"/>
        <v>7.8660805520248944</v>
      </c>
      <c r="AK52" s="211">
        <f t="shared" si="66"/>
        <v>7.8660805520248944</v>
      </c>
      <c r="AL52" s="211">
        <f t="shared" ref="AL52:BQ52" si="67">IF(AL$22&lt;=$E$24,IF(AL$22&lt;=$D$24,IF(AL$22&lt;=$C$24,IF(AL$22&lt;=$B$24,$B118,($C35-$B35)/($C$24-$B$24)),($D35-$C35)/($D$24-$C$24)),($E35-$D35)/($E$24-$D$24)),$F118)</f>
        <v>7.8660805520248944</v>
      </c>
      <c r="AM52" s="211">
        <f t="shared" si="67"/>
        <v>7.8660805520248944</v>
      </c>
      <c r="AN52" s="211">
        <f t="shared" si="67"/>
        <v>7.8660805520248944</v>
      </c>
      <c r="AO52" s="211">
        <f t="shared" si="67"/>
        <v>7.8660805520248944</v>
      </c>
      <c r="AP52" s="211">
        <f t="shared" si="67"/>
        <v>7.8660805520248944</v>
      </c>
      <c r="AQ52" s="211">
        <f t="shared" si="67"/>
        <v>7.8660805520248944</v>
      </c>
      <c r="AR52" s="211">
        <f t="shared" si="67"/>
        <v>7.8660805520248944</v>
      </c>
      <c r="AS52" s="211">
        <f t="shared" si="67"/>
        <v>7.8660805520248944</v>
      </c>
      <c r="AT52" s="211">
        <f t="shared" si="67"/>
        <v>7.8660805520248944</v>
      </c>
      <c r="AU52" s="211">
        <f t="shared" si="67"/>
        <v>7.8660805520248944</v>
      </c>
      <c r="AV52" s="211">
        <f t="shared" si="67"/>
        <v>7.8660805520248944</v>
      </c>
      <c r="AW52" s="211">
        <f t="shared" si="67"/>
        <v>7.8660805520248944</v>
      </c>
      <c r="AX52" s="211">
        <f t="shared" si="67"/>
        <v>7.8660805520248944</v>
      </c>
      <c r="AY52" s="211">
        <f t="shared" si="67"/>
        <v>7.8660805520248944</v>
      </c>
      <c r="AZ52" s="211">
        <f t="shared" si="67"/>
        <v>7.8660805520248944</v>
      </c>
      <c r="BA52" s="211">
        <f t="shared" si="67"/>
        <v>7.8660805520248944</v>
      </c>
      <c r="BB52" s="211">
        <f t="shared" si="67"/>
        <v>7.8660805520248944</v>
      </c>
      <c r="BC52" s="211">
        <f t="shared" si="67"/>
        <v>7.8660805520248944</v>
      </c>
      <c r="BD52" s="211">
        <f t="shared" si="67"/>
        <v>7.8660805520248944</v>
      </c>
      <c r="BE52" s="211">
        <f t="shared" si="67"/>
        <v>-39.693960272378902</v>
      </c>
      <c r="BF52" s="211">
        <f t="shared" si="67"/>
        <v>-39.693960272378902</v>
      </c>
      <c r="BG52" s="211">
        <f t="shared" si="67"/>
        <v>-39.693960272378902</v>
      </c>
      <c r="BH52" s="211">
        <f t="shared" si="67"/>
        <v>-39.693960272378902</v>
      </c>
      <c r="BI52" s="211">
        <f t="shared" si="67"/>
        <v>-39.693960272378902</v>
      </c>
      <c r="BJ52" s="211">
        <f t="shared" si="67"/>
        <v>-39.693960272378902</v>
      </c>
      <c r="BK52" s="211">
        <f t="shared" si="67"/>
        <v>-39.693960272378902</v>
      </c>
      <c r="BL52" s="211">
        <f t="shared" si="67"/>
        <v>-39.693960272378902</v>
      </c>
      <c r="BM52" s="211">
        <f t="shared" si="67"/>
        <v>-39.693960272378902</v>
      </c>
      <c r="BN52" s="211">
        <f t="shared" si="67"/>
        <v>-39.693960272378902</v>
      </c>
      <c r="BO52" s="211">
        <f t="shared" si="67"/>
        <v>-39.693960272378902</v>
      </c>
      <c r="BP52" s="211">
        <f t="shared" si="67"/>
        <v>-39.693960272378902</v>
      </c>
      <c r="BQ52" s="211">
        <f t="shared" si="67"/>
        <v>-39.693960272378902</v>
      </c>
      <c r="BR52" s="211">
        <f t="shared" ref="BR52:DA52" si="68">IF(BR$22&lt;=$E$24,IF(BR$22&lt;=$D$24,IF(BR$22&lt;=$C$24,IF(BR$22&lt;=$B$24,$B118,($C35-$B35)/($C$24-$B$24)),($D35-$C35)/($D$24-$C$24)),($E35-$D35)/($E$24-$D$24)),$F118)</f>
        <v>-39.693960272378902</v>
      </c>
      <c r="BS52" s="211">
        <f t="shared" si="68"/>
        <v>-39.693960272378902</v>
      </c>
      <c r="BT52" s="211">
        <f t="shared" si="68"/>
        <v>-39.693960272378902</v>
      </c>
      <c r="BU52" s="211">
        <f t="shared" si="68"/>
        <v>-39.693960272378902</v>
      </c>
      <c r="BV52" s="211">
        <f t="shared" si="68"/>
        <v>-39.693960272378902</v>
      </c>
      <c r="BW52" s="211">
        <f t="shared" si="68"/>
        <v>-39.693960272378902</v>
      </c>
      <c r="BX52" s="211">
        <f t="shared" si="68"/>
        <v>-39.693960272378902</v>
      </c>
      <c r="BY52" s="211">
        <f t="shared" si="68"/>
        <v>-39.693960272378902</v>
      </c>
      <c r="BZ52" s="211">
        <f t="shared" si="68"/>
        <v>-39.693960272378902</v>
      </c>
      <c r="CA52" s="211">
        <f t="shared" si="68"/>
        <v>-39.693960272378902</v>
      </c>
      <c r="CB52" s="211">
        <f t="shared" si="68"/>
        <v>-39.693960272378902</v>
      </c>
      <c r="CC52" s="211">
        <f t="shared" si="68"/>
        <v>-39.693960272378902</v>
      </c>
      <c r="CD52" s="211">
        <f t="shared" si="68"/>
        <v>-39.693960272378902</v>
      </c>
      <c r="CE52" s="211">
        <f t="shared" si="68"/>
        <v>-39.693960272378902</v>
      </c>
      <c r="CF52" s="211">
        <f t="shared" si="68"/>
        <v>-39.693960272378902</v>
      </c>
      <c r="CG52" s="211">
        <f t="shared" si="68"/>
        <v>-39.693960272378902</v>
      </c>
      <c r="CH52" s="211">
        <f t="shared" si="68"/>
        <v>-39.693960272378902</v>
      </c>
      <c r="CI52" s="211">
        <f t="shared" si="68"/>
        <v>-229.45936181050337</v>
      </c>
      <c r="CJ52" s="211">
        <f t="shared" si="68"/>
        <v>-229.45936181050337</v>
      </c>
      <c r="CK52" s="211">
        <f t="shared" si="68"/>
        <v>-229.45936181050337</v>
      </c>
      <c r="CL52" s="211">
        <f t="shared" si="68"/>
        <v>-229.45936181050337</v>
      </c>
      <c r="CM52" s="211">
        <f t="shared" si="68"/>
        <v>-229.45936181050337</v>
      </c>
      <c r="CN52" s="211">
        <f t="shared" si="68"/>
        <v>-229.45936181050337</v>
      </c>
      <c r="CO52" s="211">
        <f t="shared" si="68"/>
        <v>-229.45936181050337</v>
      </c>
      <c r="CP52" s="211">
        <f t="shared" si="68"/>
        <v>-229.45936181050337</v>
      </c>
      <c r="CQ52" s="211">
        <f t="shared" si="68"/>
        <v>-229.45936181050337</v>
      </c>
      <c r="CR52" s="211">
        <f t="shared" si="68"/>
        <v>-229.45936181050337</v>
      </c>
      <c r="CS52" s="211">
        <f t="shared" si="68"/>
        <v>-229.45936181050337</v>
      </c>
      <c r="CT52" s="211">
        <f t="shared" si="68"/>
        <v>-229.45936181050337</v>
      </c>
      <c r="CU52" s="211">
        <f t="shared" si="68"/>
        <v>-229.45936181050337</v>
      </c>
      <c r="CV52" s="211">
        <f t="shared" si="68"/>
        <v>-229.45936181050337</v>
      </c>
      <c r="CW52" s="211">
        <f t="shared" si="68"/>
        <v>14.730000000000004</v>
      </c>
      <c r="CX52" s="211">
        <f t="shared" si="68"/>
        <v>14.730000000000004</v>
      </c>
      <c r="CY52" s="211">
        <f t="shared" si="68"/>
        <v>14.730000000000004</v>
      </c>
      <c r="CZ52" s="211">
        <f t="shared" si="68"/>
        <v>14.730000000000004</v>
      </c>
      <c r="DA52" s="211">
        <f t="shared" si="68"/>
        <v>14.730000000000004</v>
      </c>
    </row>
    <row r="53" spans="1:105">
      <c r="A53" s="202" t="str">
        <f>Income!A85</f>
        <v>Cash transfer - official</v>
      </c>
      <c r="F53" s="211">
        <f t="shared" ref="F53:AK53" si="69">IF(F$22&lt;=$E$24,IF(F$22&lt;=$D$24,IF(F$22&lt;=$C$24,IF(F$22&lt;=$B$24,$B119,($C36-$B36)/($C$24-$B$24)),($D36-$C36)/($D$24-$C$24)),($E36-$D36)/($E$24-$D$24)),$F119)</f>
        <v>0</v>
      </c>
      <c r="G53" s="211">
        <f t="shared" si="69"/>
        <v>0</v>
      </c>
      <c r="H53" s="211">
        <f t="shared" si="69"/>
        <v>0</v>
      </c>
      <c r="I53" s="211">
        <f t="shared" si="69"/>
        <v>0</v>
      </c>
      <c r="J53" s="211">
        <f t="shared" si="69"/>
        <v>0</v>
      </c>
      <c r="K53" s="211">
        <f t="shared" si="69"/>
        <v>0</v>
      </c>
      <c r="L53" s="211">
        <f t="shared" si="69"/>
        <v>0</v>
      </c>
      <c r="M53" s="211">
        <f t="shared" si="69"/>
        <v>0</v>
      </c>
      <c r="N53" s="211">
        <f t="shared" si="69"/>
        <v>0</v>
      </c>
      <c r="O53" s="211">
        <f t="shared" si="69"/>
        <v>0</v>
      </c>
      <c r="P53" s="211">
        <f t="shared" si="69"/>
        <v>0</v>
      </c>
      <c r="Q53" s="211">
        <f t="shared" si="69"/>
        <v>0</v>
      </c>
      <c r="R53" s="211">
        <f t="shared" si="69"/>
        <v>0</v>
      </c>
      <c r="S53" s="211">
        <f t="shared" si="69"/>
        <v>0</v>
      </c>
      <c r="T53" s="211">
        <f t="shared" si="69"/>
        <v>0</v>
      </c>
      <c r="U53" s="211">
        <f t="shared" si="69"/>
        <v>-310.0914613981713</v>
      </c>
      <c r="V53" s="211">
        <f t="shared" si="69"/>
        <v>-310.0914613981713</v>
      </c>
      <c r="W53" s="211">
        <f t="shared" si="69"/>
        <v>-310.0914613981713</v>
      </c>
      <c r="X53" s="211">
        <f t="shared" si="69"/>
        <v>-310.0914613981713</v>
      </c>
      <c r="Y53" s="211">
        <f t="shared" si="69"/>
        <v>-310.0914613981713</v>
      </c>
      <c r="Z53" s="211">
        <f t="shared" si="69"/>
        <v>-310.0914613981713</v>
      </c>
      <c r="AA53" s="211">
        <f t="shared" si="69"/>
        <v>-310.0914613981713</v>
      </c>
      <c r="AB53" s="211">
        <f t="shared" si="69"/>
        <v>-310.0914613981713</v>
      </c>
      <c r="AC53" s="211">
        <f t="shared" si="69"/>
        <v>-310.0914613981713</v>
      </c>
      <c r="AD53" s="211">
        <f t="shared" si="69"/>
        <v>-310.0914613981713</v>
      </c>
      <c r="AE53" s="211">
        <f t="shared" si="69"/>
        <v>-310.0914613981713</v>
      </c>
      <c r="AF53" s="211">
        <f t="shared" si="69"/>
        <v>-310.0914613981713</v>
      </c>
      <c r="AG53" s="211">
        <f t="shared" si="69"/>
        <v>-310.0914613981713</v>
      </c>
      <c r="AH53" s="211">
        <f t="shared" si="69"/>
        <v>-310.0914613981713</v>
      </c>
      <c r="AI53" s="211">
        <f t="shared" si="69"/>
        <v>-310.0914613981713</v>
      </c>
      <c r="AJ53" s="211">
        <f t="shared" si="69"/>
        <v>-310.0914613981713</v>
      </c>
      <c r="AK53" s="211">
        <f t="shared" si="69"/>
        <v>-310.0914613981713</v>
      </c>
      <c r="AL53" s="211">
        <f t="shared" ref="AL53:BQ53" si="70">IF(AL$22&lt;=$E$24,IF(AL$22&lt;=$D$24,IF(AL$22&lt;=$C$24,IF(AL$22&lt;=$B$24,$B119,($C36-$B36)/($C$24-$B$24)),($D36-$C36)/($D$24-$C$24)),($E36-$D36)/($E$24-$D$24)),$F119)</f>
        <v>-310.0914613981713</v>
      </c>
      <c r="AM53" s="211">
        <f t="shared" si="70"/>
        <v>-310.0914613981713</v>
      </c>
      <c r="AN53" s="211">
        <f t="shared" si="70"/>
        <v>-310.0914613981713</v>
      </c>
      <c r="AO53" s="211">
        <f t="shared" si="70"/>
        <v>-310.0914613981713</v>
      </c>
      <c r="AP53" s="211">
        <f t="shared" si="70"/>
        <v>-310.0914613981713</v>
      </c>
      <c r="AQ53" s="211">
        <f t="shared" si="70"/>
        <v>-310.0914613981713</v>
      </c>
      <c r="AR53" s="211">
        <f t="shared" si="70"/>
        <v>-310.0914613981713</v>
      </c>
      <c r="AS53" s="211">
        <f t="shared" si="70"/>
        <v>-310.0914613981713</v>
      </c>
      <c r="AT53" s="211">
        <f t="shared" si="70"/>
        <v>-310.0914613981713</v>
      </c>
      <c r="AU53" s="211">
        <f t="shared" si="70"/>
        <v>-310.0914613981713</v>
      </c>
      <c r="AV53" s="211">
        <f t="shared" si="70"/>
        <v>-310.0914613981713</v>
      </c>
      <c r="AW53" s="211">
        <f t="shared" si="70"/>
        <v>-310.0914613981713</v>
      </c>
      <c r="AX53" s="211">
        <f t="shared" si="70"/>
        <v>-310.0914613981713</v>
      </c>
      <c r="AY53" s="211">
        <f t="shared" si="70"/>
        <v>-310.0914613981713</v>
      </c>
      <c r="AZ53" s="211">
        <f t="shared" si="70"/>
        <v>-310.0914613981713</v>
      </c>
      <c r="BA53" s="211">
        <f t="shared" si="70"/>
        <v>-310.0914613981713</v>
      </c>
      <c r="BB53" s="211">
        <f t="shared" si="70"/>
        <v>-310.0914613981713</v>
      </c>
      <c r="BC53" s="211">
        <f t="shared" si="70"/>
        <v>-310.0914613981713</v>
      </c>
      <c r="BD53" s="211">
        <f t="shared" si="70"/>
        <v>-310.0914613981713</v>
      </c>
      <c r="BE53" s="211">
        <f t="shared" si="70"/>
        <v>0</v>
      </c>
      <c r="BF53" s="211">
        <f t="shared" si="70"/>
        <v>0</v>
      </c>
      <c r="BG53" s="211">
        <f t="shared" si="70"/>
        <v>0</v>
      </c>
      <c r="BH53" s="211">
        <f t="shared" si="70"/>
        <v>0</v>
      </c>
      <c r="BI53" s="211">
        <f t="shared" si="70"/>
        <v>0</v>
      </c>
      <c r="BJ53" s="211">
        <f t="shared" si="70"/>
        <v>0</v>
      </c>
      <c r="BK53" s="211">
        <f t="shared" si="70"/>
        <v>0</v>
      </c>
      <c r="BL53" s="211">
        <f t="shared" si="70"/>
        <v>0</v>
      </c>
      <c r="BM53" s="211">
        <f t="shared" si="70"/>
        <v>0</v>
      </c>
      <c r="BN53" s="211">
        <f t="shared" si="70"/>
        <v>0</v>
      </c>
      <c r="BO53" s="211">
        <f t="shared" si="70"/>
        <v>0</v>
      </c>
      <c r="BP53" s="211">
        <f t="shared" si="70"/>
        <v>0</v>
      </c>
      <c r="BQ53" s="211">
        <f t="shared" si="70"/>
        <v>0</v>
      </c>
      <c r="BR53" s="211">
        <f t="shared" ref="BR53:DA53" si="71">IF(BR$22&lt;=$E$24,IF(BR$22&lt;=$D$24,IF(BR$22&lt;=$C$24,IF(BR$22&lt;=$B$24,$B119,($C36-$B36)/($C$24-$B$24)),($D36-$C36)/($D$24-$C$24)),($E36-$D36)/($E$24-$D$24)),$F119)</f>
        <v>0</v>
      </c>
      <c r="BS53" s="211">
        <f t="shared" si="71"/>
        <v>0</v>
      </c>
      <c r="BT53" s="211">
        <f t="shared" si="71"/>
        <v>0</v>
      </c>
      <c r="BU53" s="211">
        <f t="shared" si="71"/>
        <v>0</v>
      </c>
      <c r="BV53" s="211">
        <f t="shared" si="71"/>
        <v>0</v>
      </c>
      <c r="BW53" s="211">
        <f t="shared" si="71"/>
        <v>0</v>
      </c>
      <c r="BX53" s="211">
        <f t="shared" si="71"/>
        <v>0</v>
      </c>
      <c r="BY53" s="211">
        <f t="shared" si="71"/>
        <v>0</v>
      </c>
      <c r="BZ53" s="211">
        <f t="shared" si="71"/>
        <v>0</v>
      </c>
      <c r="CA53" s="211">
        <f t="shared" si="71"/>
        <v>0</v>
      </c>
      <c r="CB53" s="211">
        <f t="shared" si="71"/>
        <v>0</v>
      </c>
      <c r="CC53" s="211">
        <f t="shared" si="71"/>
        <v>0</v>
      </c>
      <c r="CD53" s="211">
        <f t="shared" si="71"/>
        <v>0</v>
      </c>
      <c r="CE53" s="211">
        <f t="shared" si="71"/>
        <v>0</v>
      </c>
      <c r="CF53" s="211">
        <f t="shared" si="71"/>
        <v>0</v>
      </c>
      <c r="CG53" s="211">
        <f t="shared" si="71"/>
        <v>0</v>
      </c>
      <c r="CH53" s="211">
        <f t="shared" si="71"/>
        <v>0</v>
      </c>
      <c r="CI53" s="211">
        <f t="shared" si="71"/>
        <v>0</v>
      </c>
      <c r="CJ53" s="211">
        <f t="shared" si="71"/>
        <v>0</v>
      </c>
      <c r="CK53" s="211">
        <f t="shared" si="71"/>
        <v>0</v>
      </c>
      <c r="CL53" s="211">
        <f t="shared" si="71"/>
        <v>0</v>
      </c>
      <c r="CM53" s="211">
        <f t="shared" si="71"/>
        <v>0</v>
      </c>
      <c r="CN53" s="211">
        <f t="shared" si="71"/>
        <v>0</v>
      </c>
      <c r="CO53" s="211">
        <f t="shared" si="71"/>
        <v>0</v>
      </c>
      <c r="CP53" s="211">
        <f t="shared" si="71"/>
        <v>0</v>
      </c>
      <c r="CQ53" s="211">
        <f t="shared" si="71"/>
        <v>0</v>
      </c>
      <c r="CR53" s="211">
        <f t="shared" si="71"/>
        <v>0</v>
      </c>
      <c r="CS53" s="211">
        <f t="shared" si="71"/>
        <v>0</v>
      </c>
      <c r="CT53" s="211">
        <f t="shared" si="71"/>
        <v>0</v>
      </c>
      <c r="CU53" s="211">
        <f t="shared" si="71"/>
        <v>0</v>
      </c>
      <c r="CV53" s="211">
        <f t="shared" si="71"/>
        <v>0</v>
      </c>
      <c r="CW53" s="211">
        <f t="shared" si="71"/>
        <v>-1127.83</v>
      </c>
      <c r="CX53" s="211">
        <f t="shared" si="71"/>
        <v>-1127.83</v>
      </c>
      <c r="CY53" s="211">
        <f t="shared" si="71"/>
        <v>-1127.83</v>
      </c>
      <c r="CZ53" s="211">
        <f t="shared" si="71"/>
        <v>-1127.83</v>
      </c>
      <c r="DA53" s="211">
        <f t="shared" si="71"/>
        <v>-1127.83</v>
      </c>
    </row>
    <row r="54" spans="1:105">
      <c r="A54" s="202" t="str">
        <f>Income!A86</f>
        <v>Cash transfer - gifts</v>
      </c>
      <c r="F54" s="211">
        <f t="shared" ref="F54:AK54" si="72">IF(F$22&lt;=$E$24,IF(F$22&lt;=$D$24,IF(F$22&lt;=$C$24,IF(F$22&lt;=$B$24,$B120,($C37-$B37)/($C$24-$B$24)),($D37-$C37)/($D$24-$C$24)),($E37-$D37)/($E$24-$D$24)),$F120)</f>
        <v>0</v>
      </c>
      <c r="G54" s="211">
        <f t="shared" si="72"/>
        <v>0</v>
      </c>
      <c r="H54" s="211">
        <f t="shared" si="72"/>
        <v>0</v>
      </c>
      <c r="I54" s="211">
        <f t="shared" si="72"/>
        <v>0</v>
      </c>
      <c r="J54" s="211">
        <f t="shared" si="72"/>
        <v>0</v>
      </c>
      <c r="K54" s="211">
        <f t="shared" si="72"/>
        <v>0</v>
      </c>
      <c r="L54" s="211">
        <f t="shared" si="72"/>
        <v>0</v>
      </c>
      <c r="M54" s="211">
        <f t="shared" si="72"/>
        <v>0</v>
      </c>
      <c r="N54" s="211">
        <f t="shared" si="72"/>
        <v>0</v>
      </c>
      <c r="O54" s="211">
        <f t="shared" si="72"/>
        <v>0</v>
      </c>
      <c r="P54" s="211">
        <f t="shared" si="72"/>
        <v>0</v>
      </c>
      <c r="Q54" s="211">
        <f t="shared" si="72"/>
        <v>0</v>
      </c>
      <c r="R54" s="211">
        <f t="shared" si="72"/>
        <v>0</v>
      </c>
      <c r="S54" s="211">
        <f t="shared" si="72"/>
        <v>0</v>
      </c>
      <c r="T54" s="211">
        <f t="shared" si="72"/>
        <v>0</v>
      </c>
      <c r="U54" s="211">
        <f t="shared" si="72"/>
        <v>99.10006287183225</v>
      </c>
      <c r="V54" s="211">
        <f t="shared" si="72"/>
        <v>99.10006287183225</v>
      </c>
      <c r="W54" s="211">
        <f t="shared" si="72"/>
        <v>99.10006287183225</v>
      </c>
      <c r="X54" s="211">
        <f t="shared" si="72"/>
        <v>99.10006287183225</v>
      </c>
      <c r="Y54" s="211">
        <f t="shared" si="72"/>
        <v>99.10006287183225</v>
      </c>
      <c r="Z54" s="211">
        <f t="shared" si="72"/>
        <v>99.10006287183225</v>
      </c>
      <c r="AA54" s="211">
        <f t="shared" si="72"/>
        <v>99.10006287183225</v>
      </c>
      <c r="AB54" s="211">
        <f t="shared" si="72"/>
        <v>99.10006287183225</v>
      </c>
      <c r="AC54" s="211">
        <f t="shared" si="72"/>
        <v>99.10006287183225</v>
      </c>
      <c r="AD54" s="211">
        <f t="shared" si="72"/>
        <v>99.10006287183225</v>
      </c>
      <c r="AE54" s="211">
        <f t="shared" si="72"/>
        <v>99.10006287183225</v>
      </c>
      <c r="AF54" s="211">
        <f t="shared" si="72"/>
        <v>99.10006287183225</v>
      </c>
      <c r="AG54" s="211">
        <f t="shared" si="72"/>
        <v>99.10006287183225</v>
      </c>
      <c r="AH54" s="211">
        <f t="shared" si="72"/>
        <v>99.10006287183225</v>
      </c>
      <c r="AI54" s="211">
        <f t="shared" si="72"/>
        <v>99.10006287183225</v>
      </c>
      <c r="AJ54" s="211">
        <f t="shared" si="72"/>
        <v>99.10006287183225</v>
      </c>
      <c r="AK54" s="211">
        <f t="shared" si="72"/>
        <v>99.10006287183225</v>
      </c>
      <c r="AL54" s="211">
        <f t="shared" ref="AL54:BQ54" si="73">IF(AL$22&lt;=$E$24,IF(AL$22&lt;=$D$24,IF(AL$22&lt;=$C$24,IF(AL$22&lt;=$B$24,$B120,($C37-$B37)/($C$24-$B$24)),($D37-$C37)/($D$24-$C$24)),($E37-$D37)/($E$24-$D$24)),$F120)</f>
        <v>99.10006287183225</v>
      </c>
      <c r="AM54" s="211">
        <f t="shared" si="73"/>
        <v>99.10006287183225</v>
      </c>
      <c r="AN54" s="211">
        <f t="shared" si="73"/>
        <v>99.10006287183225</v>
      </c>
      <c r="AO54" s="211">
        <f t="shared" si="73"/>
        <v>99.10006287183225</v>
      </c>
      <c r="AP54" s="211">
        <f t="shared" si="73"/>
        <v>99.10006287183225</v>
      </c>
      <c r="AQ54" s="211">
        <f t="shared" si="73"/>
        <v>99.10006287183225</v>
      </c>
      <c r="AR54" s="211">
        <f t="shared" si="73"/>
        <v>99.10006287183225</v>
      </c>
      <c r="AS54" s="211">
        <f t="shared" si="73"/>
        <v>99.10006287183225</v>
      </c>
      <c r="AT54" s="211">
        <f t="shared" si="73"/>
        <v>99.10006287183225</v>
      </c>
      <c r="AU54" s="211">
        <f t="shared" si="73"/>
        <v>99.10006287183225</v>
      </c>
      <c r="AV54" s="211">
        <f t="shared" si="73"/>
        <v>99.10006287183225</v>
      </c>
      <c r="AW54" s="211">
        <f t="shared" si="73"/>
        <v>99.10006287183225</v>
      </c>
      <c r="AX54" s="211">
        <f t="shared" si="73"/>
        <v>99.10006287183225</v>
      </c>
      <c r="AY54" s="211">
        <f t="shared" si="73"/>
        <v>99.10006287183225</v>
      </c>
      <c r="AZ54" s="211">
        <f t="shared" si="73"/>
        <v>99.10006287183225</v>
      </c>
      <c r="BA54" s="211">
        <f t="shared" si="73"/>
        <v>99.10006287183225</v>
      </c>
      <c r="BB54" s="211">
        <f t="shared" si="73"/>
        <v>99.10006287183225</v>
      </c>
      <c r="BC54" s="211">
        <f t="shared" si="73"/>
        <v>99.10006287183225</v>
      </c>
      <c r="BD54" s="211">
        <f t="shared" si="73"/>
        <v>99.10006287183225</v>
      </c>
      <c r="BE54" s="211">
        <f t="shared" si="73"/>
        <v>28.343323480436069</v>
      </c>
      <c r="BF54" s="211">
        <f t="shared" si="73"/>
        <v>28.343323480436069</v>
      </c>
      <c r="BG54" s="211">
        <f t="shared" si="73"/>
        <v>28.343323480436069</v>
      </c>
      <c r="BH54" s="211">
        <f t="shared" si="73"/>
        <v>28.343323480436069</v>
      </c>
      <c r="BI54" s="211">
        <f t="shared" si="73"/>
        <v>28.343323480436069</v>
      </c>
      <c r="BJ54" s="211">
        <f t="shared" si="73"/>
        <v>28.343323480436069</v>
      </c>
      <c r="BK54" s="211">
        <f t="shared" si="73"/>
        <v>28.343323480436069</v>
      </c>
      <c r="BL54" s="211">
        <f t="shared" si="73"/>
        <v>28.343323480436069</v>
      </c>
      <c r="BM54" s="211">
        <f t="shared" si="73"/>
        <v>28.343323480436069</v>
      </c>
      <c r="BN54" s="211">
        <f t="shared" si="73"/>
        <v>28.343323480436069</v>
      </c>
      <c r="BO54" s="211">
        <f t="shared" si="73"/>
        <v>28.343323480436069</v>
      </c>
      <c r="BP54" s="211">
        <f t="shared" si="73"/>
        <v>28.343323480436069</v>
      </c>
      <c r="BQ54" s="211">
        <f t="shared" si="73"/>
        <v>28.343323480436069</v>
      </c>
      <c r="BR54" s="211">
        <f t="shared" ref="BR54:DA54" si="74">IF(BR$22&lt;=$E$24,IF(BR$22&lt;=$D$24,IF(BR$22&lt;=$C$24,IF(BR$22&lt;=$B$24,$B120,($C37-$B37)/($C$24-$B$24)),($D37-$C37)/($D$24-$C$24)),($E37-$D37)/($E$24-$D$24)),$F120)</f>
        <v>28.343323480436069</v>
      </c>
      <c r="BS54" s="211">
        <f t="shared" si="74"/>
        <v>28.343323480436069</v>
      </c>
      <c r="BT54" s="211">
        <f t="shared" si="74"/>
        <v>28.343323480436069</v>
      </c>
      <c r="BU54" s="211">
        <f t="shared" si="74"/>
        <v>28.343323480436069</v>
      </c>
      <c r="BV54" s="211">
        <f t="shared" si="74"/>
        <v>28.343323480436069</v>
      </c>
      <c r="BW54" s="211">
        <f t="shared" si="74"/>
        <v>28.343323480436069</v>
      </c>
      <c r="BX54" s="211">
        <f t="shared" si="74"/>
        <v>28.343323480436069</v>
      </c>
      <c r="BY54" s="211">
        <f t="shared" si="74"/>
        <v>28.343323480436069</v>
      </c>
      <c r="BZ54" s="211">
        <f t="shared" si="74"/>
        <v>28.343323480436069</v>
      </c>
      <c r="CA54" s="211">
        <f t="shared" si="74"/>
        <v>28.343323480436069</v>
      </c>
      <c r="CB54" s="211">
        <f t="shared" si="74"/>
        <v>28.343323480436069</v>
      </c>
      <c r="CC54" s="211">
        <f t="shared" si="74"/>
        <v>28.343323480436069</v>
      </c>
      <c r="CD54" s="211">
        <f t="shared" si="74"/>
        <v>28.343323480436069</v>
      </c>
      <c r="CE54" s="211">
        <f t="shared" si="74"/>
        <v>28.343323480436069</v>
      </c>
      <c r="CF54" s="211">
        <f t="shared" si="74"/>
        <v>28.343323480436069</v>
      </c>
      <c r="CG54" s="211">
        <f t="shared" si="74"/>
        <v>28.343323480436069</v>
      </c>
      <c r="CH54" s="211">
        <f t="shared" si="74"/>
        <v>28.343323480436069</v>
      </c>
      <c r="CI54" s="211">
        <f t="shared" si="74"/>
        <v>-301.26565078366389</v>
      </c>
      <c r="CJ54" s="211">
        <f t="shared" si="74"/>
        <v>-301.26565078366389</v>
      </c>
      <c r="CK54" s="211">
        <f t="shared" si="74"/>
        <v>-301.26565078366389</v>
      </c>
      <c r="CL54" s="211">
        <f t="shared" si="74"/>
        <v>-301.26565078366389</v>
      </c>
      <c r="CM54" s="211">
        <f t="shared" si="74"/>
        <v>-301.26565078366389</v>
      </c>
      <c r="CN54" s="211">
        <f t="shared" si="74"/>
        <v>-301.26565078366389</v>
      </c>
      <c r="CO54" s="211">
        <f t="shared" si="74"/>
        <v>-301.26565078366389</v>
      </c>
      <c r="CP54" s="211">
        <f t="shared" si="74"/>
        <v>-301.26565078366389</v>
      </c>
      <c r="CQ54" s="211">
        <f t="shared" si="74"/>
        <v>-301.26565078366389</v>
      </c>
      <c r="CR54" s="211">
        <f t="shared" si="74"/>
        <v>-301.26565078366389</v>
      </c>
      <c r="CS54" s="211">
        <f t="shared" si="74"/>
        <v>-301.26565078366389</v>
      </c>
      <c r="CT54" s="211">
        <f t="shared" si="74"/>
        <v>-301.26565078366389</v>
      </c>
      <c r="CU54" s="211">
        <f t="shared" si="74"/>
        <v>-301.26565078366389</v>
      </c>
      <c r="CV54" s="211">
        <f t="shared" si="74"/>
        <v>-301.26565078366389</v>
      </c>
      <c r="CW54" s="211">
        <f t="shared" si="74"/>
        <v>296.33</v>
      </c>
      <c r="CX54" s="211">
        <f t="shared" si="74"/>
        <v>296.33</v>
      </c>
      <c r="CY54" s="211">
        <f t="shared" si="74"/>
        <v>296.33</v>
      </c>
      <c r="CZ54" s="211">
        <f t="shared" si="74"/>
        <v>296.33</v>
      </c>
      <c r="DA54" s="211">
        <f t="shared" si="74"/>
        <v>296.33</v>
      </c>
    </row>
    <row r="55" spans="1:105">
      <c r="A55" s="202" t="str">
        <f>Income!A88</f>
        <v>TOTAL</v>
      </c>
    </row>
    <row r="56" spans="1:105">
      <c r="A56" s="202" t="str">
        <f>Income!A89</f>
        <v>Food Poverty line</v>
      </c>
    </row>
    <row r="57" spans="1:105">
      <c r="A57" s="202" t="str">
        <f>Income!A90</f>
        <v>Lower Bound Poverty line</v>
      </c>
    </row>
    <row r="59" spans="1:105" s="205" customFormat="1">
      <c r="A59" s="205" t="str">
        <f>Income!A72</f>
        <v>Own crops Consumed</v>
      </c>
      <c r="F59" s="205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1993.7522850518562</v>
      </c>
      <c r="G59" s="205">
        <f t="shared" si="75"/>
        <v>1993.7522850518562</v>
      </c>
      <c r="H59" s="205">
        <f t="shared" si="75"/>
        <v>1993.7522850518562</v>
      </c>
      <c r="I59" s="205">
        <f t="shared" si="75"/>
        <v>1993.7522850518562</v>
      </c>
      <c r="J59" s="205">
        <f t="shared" si="75"/>
        <v>1993.7522850518562</v>
      </c>
      <c r="K59" s="205">
        <f t="shared" si="75"/>
        <v>1993.7522850518562</v>
      </c>
      <c r="L59" s="205">
        <f t="shared" si="75"/>
        <v>1993.7522850518562</v>
      </c>
      <c r="M59" s="205">
        <f t="shared" si="75"/>
        <v>1993.7522850518562</v>
      </c>
      <c r="N59" s="205">
        <f t="shared" si="75"/>
        <v>1993.7522850518562</v>
      </c>
      <c r="O59" s="205">
        <f t="shared" si="75"/>
        <v>1993.7522850518562</v>
      </c>
      <c r="P59" s="205">
        <f t="shared" si="75"/>
        <v>1993.7522850518562</v>
      </c>
      <c r="Q59" s="205">
        <f t="shared" si="75"/>
        <v>1993.7522850518562</v>
      </c>
      <c r="R59" s="205">
        <f t="shared" si="75"/>
        <v>1993.7522850518562</v>
      </c>
      <c r="S59" s="205">
        <f t="shared" si="75"/>
        <v>1993.7522850518562</v>
      </c>
      <c r="T59" s="205">
        <f t="shared" si="75"/>
        <v>1993.7522850518562</v>
      </c>
      <c r="U59" s="205">
        <f t="shared" si="75"/>
        <v>2014.23712052362</v>
      </c>
      <c r="V59" s="205">
        <f t="shared" si="75"/>
        <v>2055.206791467147</v>
      </c>
      <c r="W59" s="205">
        <f t="shared" si="75"/>
        <v>2096.1764624106745</v>
      </c>
      <c r="X59" s="205">
        <f t="shared" si="75"/>
        <v>2137.1461333542015</v>
      </c>
      <c r="Y59" s="205">
        <f t="shared" si="75"/>
        <v>2178.1158042977286</v>
      </c>
      <c r="Z59" s="205">
        <f t="shared" si="75"/>
        <v>2219.0854752412561</v>
      </c>
      <c r="AA59" s="205">
        <f t="shared" si="75"/>
        <v>2260.0551461847831</v>
      </c>
      <c r="AB59" s="205">
        <f t="shared" si="75"/>
        <v>2301.0248171283101</v>
      </c>
      <c r="AC59" s="205">
        <f t="shared" si="75"/>
        <v>2341.9944880718376</v>
      </c>
      <c r="AD59" s="205">
        <f t="shared" si="75"/>
        <v>2382.9641590153647</v>
      </c>
      <c r="AE59" s="205">
        <f t="shared" si="75"/>
        <v>2423.9338299588917</v>
      </c>
      <c r="AF59" s="205">
        <f t="shared" si="75"/>
        <v>2464.9035009024192</v>
      </c>
      <c r="AG59" s="205">
        <f t="shared" si="75"/>
        <v>2505.8731718459462</v>
      </c>
      <c r="AH59" s="205">
        <f t="shared" si="75"/>
        <v>2546.8428427894733</v>
      </c>
      <c r="AI59" s="205">
        <f t="shared" si="75"/>
        <v>2587.8125137330007</v>
      </c>
      <c r="AJ59" s="205">
        <f t="shared" si="75"/>
        <v>2628.7821846765278</v>
      </c>
      <c r="AK59" s="205">
        <f t="shared" si="75"/>
        <v>2669.7518556200548</v>
      </c>
      <c r="AL59" s="205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2710.7215265635823</v>
      </c>
      <c r="AM59" s="205">
        <f t="shared" si="76"/>
        <v>2751.6911975071093</v>
      </c>
      <c r="AN59" s="205">
        <f t="shared" si="76"/>
        <v>2792.6608684506364</v>
      </c>
      <c r="AO59" s="205">
        <f t="shared" si="76"/>
        <v>2833.6305393941639</v>
      </c>
      <c r="AP59" s="205">
        <f t="shared" si="76"/>
        <v>2874.6002103376909</v>
      </c>
      <c r="AQ59" s="205">
        <f t="shared" si="76"/>
        <v>2915.5698812812179</v>
      </c>
      <c r="AR59" s="205">
        <f t="shared" si="76"/>
        <v>2956.5395522247454</v>
      </c>
      <c r="AS59" s="205">
        <f t="shared" si="76"/>
        <v>2997.5092231682725</v>
      </c>
      <c r="AT59" s="205">
        <f t="shared" si="76"/>
        <v>3038.4788941117995</v>
      </c>
      <c r="AU59" s="205">
        <f t="shared" si="76"/>
        <v>3079.448565055327</v>
      </c>
      <c r="AV59" s="205">
        <f t="shared" si="76"/>
        <v>3120.4182359988545</v>
      </c>
      <c r="AW59" s="205">
        <f t="shared" si="76"/>
        <v>3161.3879069423811</v>
      </c>
      <c r="AX59" s="205">
        <f t="shared" si="76"/>
        <v>3202.3575778859085</v>
      </c>
      <c r="AY59" s="205">
        <f t="shared" si="76"/>
        <v>3243.327248829436</v>
      </c>
      <c r="AZ59" s="205">
        <f t="shared" si="76"/>
        <v>3284.2969197729631</v>
      </c>
      <c r="BA59" s="205">
        <f t="shared" si="76"/>
        <v>3325.2665907164901</v>
      </c>
      <c r="BB59" s="205">
        <f t="shared" si="76"/>
        <v>3366.2362616600176</v>
      </c>
      <c r="BC59" s="205">
        <f t="shared" si="76"/>
        <v>3407.2059326035446</v>
      </c>
      <c r="BD59" s="205">
        <f t="shared" si="76"/>
        <v>3448.1756035470717</v>
      </c>
      <c r="BE59" s="205">
        <f t="shared" si="76"/>
        <v>3416.2740873742323</v>
      </c>
      <c r="BF59" s="205">
        <f t="shared" si="76"/>
        <v>3384.3725712013934</v>
      </c>
      <c r="BG59" s="205">
        <f t="shared" si="76"/>
        <v>3352.471055028554</v>
      </c>
      <c r="BH59" s="205">
        <f t="shared" si="76"/>
        <v>3320.5695388557151</v>
      </c>
      <c r="BI59" s="205">
        <f t="shared" si="76"/>
        <v>3288.6680226828757</v>
      </c>
      <c r="BJ59" s="205">
        <f t="shared" si="76"/>
        <v>3256.7665065100368</v>
      </c>
      <c r="BK59" s="205">
        <f t="shared" si="76"/>
        <v>3224.8649903371975</v>
      </c>
      <c r="BL59" s="205">
        <f t="shared" si="76"/>
        <v>3192.9634741643586</v>
      </c>
      <c r="BM59" s="205">
        <f t="shared" si="76"/>
        <v>3161.0619579915192</v>
      </c>
      <c r="BN59" s="205">
        <f t="shared" si="76"/>
        <v>3129.1604418186803</v>
      </c>
      <c r="BO59" s="205">
        <f t="shared" si="76"/>
        <v>3097.2589256458409</v>
      </c>
      <c r="BP59" s="205">
        <f t="shared" si="76"/>
        <v>3065.357409473002</v>
      </c>
      <c r="BQ59" s="205">
        <f t="shared" si="76"/>
        <v>3033.4558933001626</v>
      </c>
      <c r="BR59" s="205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3001.5543771273233</v>
      </c>
      <c r="BS59" s="205">
        <f t="shared" si="77"/>
        <v>2969.6528609544844</v>
      </c>
      <c r="BT59" s="205">
        <f t="shared" si="77"/>
        <v>2937.7513447816455</v>
      </c>
      <c r="BU59" s="205">
        <f t="shared" si="77"/>
        <v>2905.8498286088061</v>
      </c>
      <c r="BV59" s="205">
        <f t="shared" si="77"/>
        <v>2873.9483124359667</v>
      </c>
      <c r="BW59" s="205">
        <f t="shared" si="77"/>
        <v>2842.0467962631278</v>
      </c>
      <c r="BX59" s="205">
        <f t="shared" si="77"/>
        <v>2810.1452800902889</v>
      </c>
      <c r="BY59" s="205">
        <f t="shared" si="77"/>
        <v>2778.2437639174495</v>
      </c>
      <c r="BZ59" s="205">
        <f t="shared" si="77"/>
        <v>2746.3422477446102</v>
      </c>
      <c r="CA59" s="205">
        <f t="shared" si="77"/>
        <v>2714.4407315717713</v>
      </c>
      <c r="CB59" s="205">
        <f t="shared" si="77"/>
        <v>2682.5392153989319</v>
      </c>
      <c r="CC59" s="205">
        <f t="shared" si="77"/>
        <v>2650.637699226093</v>
      </c>
      <c r="CD59" s="205">
        <f t="shared" si="77"/>
        <v>2618.7361830532536</v>
      </c>
      <c r="CE59" s="205">
        <f t="shared" si="77"/>
        <v>2586.8346668804147</v>
      </c>
      <c r="CF59" s="205">
        <f t="shared" si="77"/>
        <v>2554.9331507075754</v>
      </c>
      <c r="CG59" s="205">
        <f t="shared" si="77"/>
        <v>2523.0316345347364</v>
      </c>
      <c r="CH59" s="205">
        <f t="shared" si="77"/>
        <v>2491.1301183618971</v>
      </c>
      <c r="CI59" s="205">
        <f t="shared" si="77"/>
        <v>2465.0455966887935</v>
      </c>
      <c r="CJ59" s="205">
        <f t="shared" si="77"/>
        <v>2438.9610750156899</v>
      </c>
      <c r="CK59" s="205">
        <f t="shared" si="77"/>
        <v>2412.8765533425862</v>
      </c>
      <c r="CL59" s="205">
        <f t="shared" si="77"/>
        <v>2386.7920316694826</v>
      </c>
      <c r="CM59" s="205">
        <f t="shared" si="77"/>
        <v>2360.707509996379</v>
      </c>
      <c r="CN59" s="205">
        <f t="shared" si="77"/>
        <v>2334.6229883232754</v>
      </c>
      <c r="CO59" s="205">
        <f t="shared" si="77"/>
        <v>2308.5384666501718</v>
      </c>
      <c r="CP59" s="205">
        <f t="shared" si="77"/>
        <v>2282.4539449770682</v>
      </c>
      <c r="CQ59" s="205">
        <f t="shared" si="77"/>
        <v>2256.3694233039646</v>
      </c>
      <c r="CR59" s="205">
        <f t="shared" si="77"/>
        <v>2230.284901630861</v>
      </c>
      <c r="CS59" s="205">
        <f t="shared" si="77"/>
        <v>2204.2003799577574</v>
      </c>
      <c r="CT59" s="205">
        <f t="shared" si="77"/>
        <v>2178.1158582846538</v>
      </c>
      <c r="CU59" s="205">
        <f t="shared" si="77"/>
        <v>2152.0313366115502</v>
      </c>
      <c r="CV59" s="205">
        <f t="shared" si="77"/>
        <v>2125.9468149384466</v>
      </c>
      <c r="CW59" s="205">
        <f t="shared" si="77"/>
        <v>2166.0845541018948</v>
      </c>
      <c r="CX59" s="205">
        <f t="shared" si="77"/>
        <v>2272.4445541018949</v>
      </c>
      <c r="CY59" s="205">
        <f t="shared" si="77"/>
        <v>2378.8045541018951</v>
      </c>
      <c r="CZ59" s="205">
        <f t="shared" si="77"/>
        <v>2485.1645541018952</v>
      </c>
      <c r="DA59" s="205">
        <f t="shared" si="77"/>
        <v>2591.5245541018953</v>
      </c>
    </row>
    <row r="60" spans="1:105" s="205" customFormat="1">
      <c r="A60" s="205" t="str">
        <f>Income!A73</f>
        <v>Own crops sold</v>
      </c>
      <c r="F60" s="205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5007.1583125308998</v>
      </c>
      <c r="G60" s="205">
        <f t="shared" si="78"/>
        <v>4666.8983125308996</v>
      </c>
      <c r="H60" s="205">
        <f t="shared" si="78"/>
        <v>4326.6383125308994</v>
      </c>
      <c r="I60" s="205">
        <f t="shared" si="78"/>
        <v>3986.3783125309001</v>
      </c>
      <c r="J60" s="205">
        <f t="shared" si="78"/>
        <v>3646.1183125308999</v>
      </c>
      <c r="K60" s="205">
        <f t="shared" si="78"/>
        <v>3305.8583125309001</v>
      </c>
      <c r="L60" s="205">
        <f t="shared" si="78"/>
        <v>2965.5983125308999</v>
      </c>
      <c r="M60" s="205">
        <f t="shared" si="78"/>
        <v>2625.3383125309001</v>
      </c>
      <c r="N60" s="205">
        <f t="shared" si="78"/>
        <v>2285.0783125308999</v>
      </c>
      <c r="O60" s="205">
        <f t="shared" si="78"/>
        <v>1944.8183125308999</v>
      </c>
      <c r="P60" s="205">
        <f t="shared" si="78"/>
        <v>1604.5583125308999</v>
      </c>
      <c r="Q60" s="205">
        <f t="shared" si="78"/>
        <v>1264.2983125308999</v>
      </c>
      <c r="R60" s="205">
        <f t="shared" si="78"/>
        <v>924.03831253089993</v>
      </c>
      <c r="S60" s="205">
        <f t="shared" si="78"/>
        <v>583.77831253089994</v>
      </c>
      <c r="T60" s="205">
        <f t="shared" si="78"/>
        <v>243.51831253089995</v>
      </c>
      <c r="U60" s="205">
        <f t="shared" si="78"/>
        <v>113.29105405665149</v>
      </c>
      <c r="V60" s="205">
        <f t="shared" si="78"/>
        <v>193.09653710815306</v>
      </c>
      <c r="W60" s="205">
        <f t="shared" si="78"/>
        <v>272.90202015965463</v>
      </c>
      <c r="X60" s="205">
        <f t="shared" si="78"/>
        <v>352.70750321115622</v>
      </c>
      <c r="Y60" s="205">
        <f t="shared" si="78"/>
        <v>432.51298626265782</v>
      </c>
      <c r="Z60" s="205">
        <f t="shared" si="78"/>
        <v>512.31846931415942</v>
      </c>
      <c r="AA60" s="205">
        <f t="shared" si="78"/>
        <v>592.1239523656609</v>
      </c>
      <c r="AB60" s="205">
        <f t="shared" si="78"/>
        <v>671.92943541716249</v>
      </c>
      <c r="AC60" s="205">
        <f t="shared" si="78"/>
        <v>751.73491846866409</v>
      </c>
      <c r="AD60" s="205">
        <f t="shared" si="78"/>
        <v>831.54040152016569</v>
      </c>
      <c r="AE60" s="205">
        <f t="shared" si="78"/>
        <v>911.34588457166728</v>
      </c>
      <c r="AF60" s="205">
        <f t="shared" si="78"/>
        <v>991.15136762316888</v>
      </c>
      <c r="AG60" s="205">
        <f t="shared" si="78"/>
        <v>1070.9568506746705</v>
      </c>
      <c r="AH60" s="205">
        <f t="shared" si="78"/>
        <v>1150.7623337261721</v>
      </c>
      <c r="AI60" s="205">
        <f t="shared" si="78"/>
        <v>1230.5678167776737</v>
      </c>
      <c r="AJ60" s="205">
        <f t="shared" si="78"/>
        <v>1310.3732998291753</v>
      </c>
      <c r="AK60" s="205">
        <f t="shared" si="78"/>
        <v>1390.1787828806766</v>
      </c>
      <c r="AL60" s="205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1469.9842659321782</v>
      </c>
      <c r="AM60" s="205">
        <f t="shared" si="79"/>
        <v>1549.7897489836798</v>
      </c>
      <c r="AN60" s="205">
        <f t="shared" si="79"/>
        <v>1629.5952320351814</v>
      </c>
      <c r="AO60" s="205">
        <f t="shared" si="79"/>
        <v>1709.400715086683</v>
      </c>
      <c r="AP60" s="205">
        <f t="shared" si="79"/>
        <v>1789.2061981381846</v>
      </c>
      <c r="AQ60" s="205">
        <f t="shared" si="79"/>
        <v>1869.0116811896862</v>
      </c>
      <c r="AR60" s="205">
        <f t="shared" si="79"/>
        <v>1948.8171642411878</v>
      </c>
      <c r="AS60" s="205">
        <f t="shared" si="79"/>
        <v>2028.6226472926892</v>
      </c>
      <c r="AT60" s="205">
        <f t="shared" si="79"/>
        <v>2108.4281303441908</v>
      </c>
      <c r="AU60" s="205">
        <f t="shared" si="79"/>
        <v>2188.2336133956928</v>
      </c>
      <c r="AV60" s="205">
        <f t="shared" si="79"/>
        <v>2268.0390964471944</v>
      </c>
      <c r="AW60" s="205">
        <f t="shared" si="79"/>
        <v>2347.844579498696</v>
      </c>
      <c r="AX60" s="205">
        <f t="shared" si="79"/>
        <v>2427.6500625501976</v>
      </c>
      <c r="AY60" s="205">
        <f t="shared" si="79"/>
        <v>2507.4555456016992</v>
      </c>
      <c r="AZ60" s="205">
        <f t="shared" si="79"/>
        <v>2587.2610286532008</v>
      </c>
      <c r="BA60" s="205">
        <f t="shared" si="79"/>
        <v>2667.066511704702</v>
      </c>
      <c r="BB60" s="205">
        <f t="shared" si="79"/>
        <v>2746.8719947562035</v>
      </c>
      <c r="BC60" s="205">
        <f t="shared" si="79"/>
        <v>2826.6774778077051</v>
      </c>
      <c r="BD60" s="205">
        <f t="shared" si="79"/>
        <v>2906.4829608592067</v>
      </c>
      <c r="BE60" s="205">
        <f t="shared" si="79"/>
        <v>2861.4379718087421</v>
      </c>
      <c r="BF60" s="205">
        <f t="shared" si="79"/>
        <v>2816.3929827582779</v>
      </c>
      <c r="BG60" s="205">
        <f t="shared" si="79"/>
        <v>2771.3479937078132</v>
      </c>
      <c r="BH60" s="205">
        <f t="shared" si="79"/>
        <v>2726.303004657349</v>
      </c>
      <c r="BI60" s="205">
        <f t="shared" si="79"/>
        <v>2681.2580156068843</v>
      </c>
      <c r="BJ60" s="205">
        <f t="shared" si="79"/>
        <v>2636.2130265564201</v>
      </c>
      <c r="BK60" s="205">
        <f t="shared" si="79"/>
        <v>2591.1680375059555</v>
      </c>
      <c r="BL60" s="205">
        <f t="shared" si="79"/>
        <v>2546.1230484554912</v>
      </c>
      <c r="BM60" s="205">
        <f t="shared" si="79"/>
        <v>2501.0780594050266</v>
      </c>
      <c r="BN60" s="205">
        <f t="shared" si="79"/>
        <v>2456.0330703545624</v>
      </c>
      <c r="BO60" s="205">
        <f t="shared" si="79"/>
        <v>2410.9880813040977</v>
      </c>
      <c r="BP60" s="205">
        <f t="shared" si="79"/>
        <v>2365.943092253633</v>
      </c>
      <c r="BQ60" s="205">
        <f t="shared" si="79"/>
        <v>2320.8981032031688</v>
      </c>
      <c r="BR60" s="205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2275.8531141527046</v>
      </c>
      <c r="BS60" s="205">
        <f t="shared" si="80"/>
        <v>2230.80812510224</v>
      </c>
      <c r="BT60" s="205">
        <f t="shared" si="80"/>
        <v>2185.7631360517753</v>
      </c>
      <c r="BU60" s="205">
        <f t="shared" si="80"/>
        <v>2140.7181470013111</v>
      </c>
      <c r="BV60" s="205">
        <f t="shared" si="80"/>
        <v>2095.6731579508469</v>
      </c>
      <c r="BW60" s="205">
        <f t="shared" si="80"/>
        <v>2050.6281689003822</v>
      </c>
      <c r="BX60" s="205">
        <f t="shared" si="80"/>
        <v>2005.5831798499178</v>
      </c>
      <c r="BY60" s="205">
        <f t="shared" si="80"/>
        <v>1960.5381907994533</v>
      </c>
      <c r="BZ60" s="205">
        <f t="shared" si="80"/>
        <v>1915.4932017489887</v>
      </c>
      <c r="CA60" s="205">
        <f t="shared" si="80"/>
        <v>1870.4482126985245</v>
      </c>
      <c r="CB60" s="205">
        <f t="shared" si="80"/>
        <v>1825.4032236480598</v>
      </c>
      <c r="CC60" s="205">
        <f t="shared" si="80"/>
        <v>1780.3582345975954</v>
      </c>
      <c r="CD60" s="205">
        <f t="shared" si="80"/>
        <v>1735.3132455471309</v>
      </c>
      <c r="CE60" s="205">
        <f t="shared" si="80"/>
        <v>1690.2682564966665</v>
      </c>
      <c r="CF60" s="205">
        <f t="shared" si="80"/>
        <v>1645.223267446202</v>
      </c>
      <c r="CG60" s="205">
        <f t="shared" si="80"/>
        <v>1600.1782783957376</v>
      </c>
      <c r="CH60" s="205">
        <f t="shared" si="80"/>
        <v>1555.1332893452732</v>
      </c>
      <c r="CI60" s="205">
        <f t="shared" si="80"/>
        <v>5061.9618694753717</v>
      </c>
      <c r="CJ60" s="205">
        <f t="shared" si="80"/>
        <v>8568.7904496054707</v>
      </c>
      <c r="CK60" s="205">
        <f t="shared" si="80"/>
        <v>12075.61902973557</v>
      </c>
      <c r="CL60" s="205">
        <f t="shared" si="80"/>
        <v>15582.447609865669</v>
      </c>
      <c r="CM60" s="205">
        <f t="shared" si="80"/>
        <v>19089.27618999577</v>
      </c>
      <c r="CN60" s="205">
        <f t="shared" si="80"/>
        <v>22596.104770125869</v>
      </c>
      <c r="CO60" s="205">
        <f t="shared" si="80"/>
        <v>26102.933350255968</v>
      </c>
      <c r="CP60" s="205">
        <f t="shared" si="80"/>
        <v>29609.761930386067</v>
      </c>
      <c r="CQ60" s="205">
        <f t="shared" si="80"/>
        <v>33116.590510516166</v>
      </c>
      <c r="CR60" s="205">
        <f t="shared" si="80"/>
        <v>36623.419090646261</v>
      </c>
      <c r="CS60" s="205">
        <f t="shared" si="80"/>
        <v>40130.247670776364</v>
      </c>
      <c r="CT60" s="205">
        <f t="shared" si="80"/>
        <v>43637.076250906459</v>
      </c>
      <c r="CU60" s="205">
        <f t="shared" si="80"/>
        <v>47143.904831036554</v>
      </c>
      <c r="CV60" s="205">
        <f t="shared" si="80"/>
        <v>50650.733411166657</v>
      </c>
      <c r="CW60" s="205">
        <f t="shared" si="80"/>
        <v>52766.577701231705</v>
      </c>
      <c r="CX60" s="205">
        <f t="shared" si="80"/>
        <v>53491.437701231705</v>
      </c>
      <c r="CY60" s="205">
        <f t="shared" si="80"/>
        <v>54216.297701231706</v>
      </c>
      <c r="CZ60" s="205">
        <f t="shared" si="80"/>
        <v>54941.157701231707</v>
      </c>
      <c r="DA60" s="205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55666.017701231707</v>
      </c>
    </row>
    <row r="61" spans="1:105" s="205" customFormat="1">
      <c r="A61" s="205" t="str">
        <f>Income!A74</f>
        <v>Animal products consumed</v>
      </c>
      <c r="F61" s="205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5">
        <f t="shared" si="81"/>
        <v>0</v>
      </c>
      <c r="H61" s="205">
        <f t="shared" si="81"/>
        <v>0</v>
      </c>
      <c r="I61" s="205">
        <f t="shared" si="81"/>
        <v>0</v>
      </c>
      <c r="J61" s="205">
        <f t="shared" si="81"/>
        <v>0</v>
      </c>
      <c r="K61" s="205">
        <f t="shared" si="81"/>
        <v>0</v>
      </c>
      <c r="L61" s="205">
        <f t="shared" si="81"/>
        <v>0</v>
      </c>
      <c r="M61" s="205">
        <f t="shared" si="81"/>
        <v>0</v>
      </c>
      <c r="N61" s="205">
        <f t="shared" si="81"/>
        <v>0</v>
      </c>
      <c r="O61" s="205">
        <f t="shared" si="81"/>
        <v>0</v>
      </c>
      <c r="P61" s="205">
        <f t="shared" si="81"/>
        <v>0</v>
      </c>
      <c r="Q61" s="205">
        <f t="shared" si="81"/>
        <v>0</v>
      </c>
      <c r="R61" s="205">
        <f t="shared" si="81"/>
        <v>0</v>
      </c>
      <c r="S61" s="205">
        <f t="shared" si="81"/>
        <v>0</v>
      </c>
      <c r="T61" s="205">
        <f t="shared" si="81"/>
        <v>0</v>
      </c>
      <c r="U61" s="205">
        <f t="shared" si="81"/>
        <v>9.0200829262521314</v>
      </c>
      <c r="V61" s="205">
        <f t="shared" si="81"/>
        <v>27.060248778756332</v>
      </c>
      <c r="W61" s="205">
        <f t="shared" si="81"/>
        <v>45.100414631260527</v>
      </c>
      <c r="X61" s="205">
        <f t="shared" si="81"/>
        <v>63.14058048376473</v>
      </c>
      <c r="Y61" s="205">
        <f t="shared" si="81"/>
        <v>81.180746336268925</v>
      </c>
      <c r="Z61" s="205">
        <f t="shared" si="81"/>
        <v>99.220912188773127</v>
      </c>
      <c r="AA61" s="205">
        <f t="shared" si="81"/>
        <v>117.26107804127733</v>
      </c>
      <c r="AB61" s="205">
        <f t="shared" si="81"/>
        <v>135.30124389378153</v>
      </c>
      <c r="AC61" s="205">
        <f t="shared" si="81"/>
        <v>153.34140974628573</v>
      </c>
      <c r="AD61" s="205">
        <f t="shared" si="81"/>
        <v>171.38157559878991</v>
      </c>
      <c r="AE61" s="205">
        <f t="shared" si="81"/>
        <v>189.42174145129411</v>
      </c>
      <c r="AF61" s="205">
        <f t="shared" si="81"/>
        <v>207.46190730379831</v>
      </c>
      <c r="AG61" s="205">
        <f t="shared" si="81"/>
        <v>225.50207315630252</v>
      </c>
      <c r="AH61" s="205">
        <f t="shared" si="81"/>
        <v>243.54223900880672</v>
      </c>
      <c r="AI61" s="205">
        <f t="shared" si="81"/>
        <v>261.58240486131092</v>
      </c>
      <c r="AJ61" s="205">
        <f t="shared" si="81"/>
        <v>279.62257071381509</v>
      </c>
      <c r="AK61" s="205">
        <f t="shared" si="81"/>
        <v>297.66273656631927</v>
      </c>
      <c r="AL61" s="205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315.7029024188235</v>
      </c>
      <c r="AM61" s="205">
        <f t="shared" si="82"/>
        <v>333.74306827132767</v>
      </c>
      <c r="AN61" s="205">
        <f t="shared" si="82"/>
        <v>351.7832341238319</v>
      </c>
      <c r="AO61" s="205">
        <f t="shared" si="82"/>
        <v>369.82339997633608</v>
      </c>
      <c r="AP61" s="205">
        <f t="shared" si="82"/>
        <v>387.86356582884025</v>
      </c>
      <c r="AQ61" s="205">
        <f t="shared" si="82"/>
        <v>405.90373168134448</v>
      </c>
      <c r="AR61" s="205">
        <f t="shared" si="82"/>
        <v>423.94389753384866</v>
      </c>
      <c r="AS61" s="205">
        <f t="shared" si="82"/>
        <v>441.98406338635289</v>
      </c>
      <c r="AT61" s="205">
        <f t="shared" si="82"/>
        <v>460.02422923885706</v>
      </c>
      <c r="AU61" s="205">
        <f t="shared" si="82"/>
        <v>478.06439509136129</v>
      </c>
      <c r="AV61" s="205">
        <f t="shared" si="82"/>
        <v>496.10456094386547</v>
      </c>
      <c r="AW61" s="205">
        <f t="shared" si="82"/>
        <v>514.1447267963697</v>
      </c>
      <c r="AX61" s="205">
        <f t="shared" si="82"/>
        <v>532.18489264887387</v>
      </c>
      <c r="AY61" s="205">
        <f t="shared" si="82"/>
        <v>550.22505850137804</v>
      </c>
      <c r="AZ61" s="205">
        <f t="shared" si="82"/>
        <v>568.26522435388222</v>
      </c>
      <c r="BA61" s="205">
        <f t="shared" si="82"/>
        <v>586.30539020638651</v>
      </c>
      <c r="BB61" s="205">
        <f t="shared" si="82"/>
        <v>604.34555605889068</v>
      </c>
      <c r="BC61" s="205">
        <f t="shared" si="82"/>
        <v>622.38572191139485</v>
      </c>
      <c r="BD61" s="205">
        <f t="shared" si="82"/>
        <v>640.42588776389903</v>
      </c>
      <c r="BE61" s="205">
        <f t="shared" si="82"/>
        <v>643.47553484848902</v>
      </c>
      <c r="BF61" s="205">
        <f t="shared" si="82"/>
        <v>646.52518193307901</v>
      </c>
      <c r="BG61" s="205">
        <f t="shared" si="82"/>
        <v>649.574829017669</v>
      </c>
      <c r="BH61" s="205">
        <f t="shared" si="82"/>
        <v>652.624476102259</v>
      </c>
      <c r="BI61" s="205">
        <f t="shared" si="82"/>
        <v>655.67412318684899</v>
      </c>
      <c r="BJ61" s="205">
        <f t="shared" si="82"/>
        <v>658.72377027143898</v>
      </c>
      <c r="BK61" s="205">
        <f t="shared" si="82"/>
        <v>661.77341735602897</v>
      </c>
      <c r="BL61" s="205">
        <f t="shared" si="82"/>
        <v>664.82306444061896</v>
      </c>
      <c r="BM61" s="205">
        <f t="shared" si="82"/>
        <v>667.87271152520896</v>
      </c>
      <c r="BN61" s="205">
        <f t="shared" si="82"/>
        <v>670.92235860979895</v>
      </c>
      <c r="BO61" s="205">
        <f t="shared" si="82"/>
        <v>673.97200569438894</v>
      </c>
      <c r="BP61" s="205">
        <f t="shared" si="82"/>
        <v>677.02165277897893</v>
      </c>
      <c r="BQ61" s="205">
        <f t="shared" si="82"/>
        <v>680.07129986356892</v>
      </c>
      <c r="BR61" s="205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683.12094694815892</v>
      </c>
      <c r="BS61" s="205">
        <f t="shared" si="83"/>
        <v>686.17059403274891</v>
      </c>
      <c r="BT61" s="205">
        <f t="shared" si="83"/>
        <v>689.2202411173389</v>
      </c>
      <c r="BU61" s="205">
        <f t="shared" si="83"/>
        <v>692.26988820192889</v>
      </c>
      <c r="BV61" s="205">
        <f t="shared" si="83"/>
        <v>695.31953528651889</v>
      </c>
      <c r="BW61" s="205">
        <f t="shared" si="83"/>
        <v>698.36918237110888</v>
      </c>
      <c r="BX61" s="205">
        <f t="shared" si="83"/>
        <v>701.41882945569887</v>
      </c>
      <c r="BY61" s="205">
        <f t="shared" si="83"/>
        <v>704.46847654028886</v>
      </c>
      <c r="BZ61" s="205">
        <f t="shared" si="83"/>
        <v>707.51812362487885</v>
      </c>
      <c r="CA61" s="205">
        <f t="shared" si="83"/>
        <v>710.56777070946885</v>
      </c>
      <c r="CB61" s="205">
        <f t="shared" si="83"/>
        <v>713.61741779405884</v>
      </c>
      <c r="CC61" s="205">
        <f t="shared" si="83"/>
        <v>716.66706487864883</v>
      </c>
      <c r="CD61" s="205">
        <f t="shared" si="83"/>
        <v>719.71671196323882</v>
      </c>
      <c r="CE61" s="205">
        <f t="shared" si="83"/>
        <v>722.76635904782881</v>
      </c>
      <c r="CF61" s="205">
        <f t="shared" si="83"/>
        <v>725.81600613241881</v>
      </c>
      <c r="CG61" s="205">
        <f t="shared" si="83"/>
        <v>728.8656532170088</v>
      </c>
      <c r="CH61" s="205">
        <f t="shared" si="83"/>
        <v>731.91530030159879</v>
      </c>
      <c r="CI61" s="205">
        <f t="shared" si="83"/>
        <v>868.40589918993362</v>
      </c>
      <c r="CJ61" s="205">
        <f t="shared" si="83"/>
        <v>1004.8964980782685</v>
      </c>
      <c r="CK61" s="205">
        <f t="shared" si="83"/>
        <v>1141.3870969666034</v>
      </c>
      <c r="CL61" s="205">
        <f t="shared" si="83"/>
        <v>1277.8776958549383</v>
      </c>
      <c r="CM61" s="205">
        <f t="shared" si="83"/>
        <v>1414.3682947432731</v>
      </c>
      <c r="CN61" s="205">
        <f t="shared" si="83"/>
        <v>1550.858893631608</v>
      </c>
      <c r="CO61" s="205">
        <f t="shared" si="83"/>
        <v>1687.3494925199429</v>
      </c>
      <c r="CP61" s="205">
        <f t="shared" si="83"/>
        <v>1823.8400914082777</v>
      </c>
      <c r="CQ61" s="205">
        <f t="shared" si="83"/>
        <v>1960.3306902966126</v>
      </c>
      <c r="CR61" s="205">
        <f t="shared" si="83"/>
        <v>2096.8212891849471</v>
      </c>
      <c r="CS61" s="205">
        <f t="shared" si="83"/>
        <v>2233.3118880732823</v>
      </c>
      <c r="CT61" s="205">
        <f t="shared" si="83"/>
        <v>2369.8024869616174</v>
      </c>
      <c r="CU61" s="205">
        <f t="shared" si="83"/>
        <v>2506.2930858499521</v>
      </c>
      <c r="CV61" s="205">
        <f t="shared" si="83"/>
        <v>2642.7836847382869</v>
      </c>
      <c r="CW61" s="205">
        <f t="shared" si="83"/>
        <v>2715.244484182454</v>
      </c>
      <c r="CX61" s="205">
        <f t="shared" si="83"/>
        <v>2723.6754841824541</v>
      </c>
      <c r="CY61" s="205">
        <f t="shared" si="83"/>
        <v>2732.1064841824541</v>
      </c>
      <c r="CZ61" s="205">
        <f t="shared" si="83"/>
        <v>2740.5374841824541</v>
      </c>
      <c r="DA61" s="205">
        <f t="shared" si="83"/>
        <v>2748.9684841824542</v>
      </c>
    </row>
    <row r="62" spans="1:105" s="205" customFormat="1">
      <c r="A62" s="205" t="str">
        <f>Income!A75</f>
        <v>Animal products sold</v>
      </c>
      <c r="F62" s="205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5">
        <f t="shared" si="84"/>
        <v>0</v>
      </c>
      <c r="H62" s="205">
        <f t="shared" si="84"/>
        <v>0</v>
      </c>
      <c r="I62" s="205">
        <f t="shared" si="84"/>
        <v>0</v>
      </c>
      <c r="J62" s="205">
        <f t="shared" si="84"/>
        <v>0</v>
      </c>
      <c r="K62" s="205">
        <f t="shared" si="84"/>
        <v>0</v>
      </c>
      <c r="L62" s="205">
        <f t="shared" si="84"/>
        <v>0</v>
      </c>
      <c r="M62" s="205">
        <f t="shared" si="84"/>
        <v>0</v>
      </c>
      <c r="N62" s="205">
        <f t="shared" si="84"/>
        <v>0</v>
      </c>
      <c r="O62" s="205">
        <f t="shared" si="84"/>
        <v>0</v>
      </c>
      <c r="P62" s="205">
        <f t="shared" si="84"/>
        <v>0</v>
      </c>
      <c r="Q62" s="205">
        <f t="shared" si="84"/>
        <v>0</v>
      </c>
      <c r="R62" s="205">
        <f t="shared" si="84"/>
        <v>0</v>
      </c>
      <c r="S62" s="205">
        <f t="shared" si="84"/>
        <v>0</v>
      </c>
      <c r="T62" s="205">
        <f t="shared" si="84"/>
        <v>0</v>
      </c>
      <c r="U62" s="205">
        <f t="shared" si="84"/>
        <v>0</v>
      </c>
      <c r="V62" s="205">
        <f t="shared" si="84"/>
        <v>0</v>
      </c>
      <c r="W62" s="205">
        <f t="shared" si="84"/>
        <v>0</v>
      </c>
      <c r="X62" s="205">
        <f t="shared" si="84"/>
        <v>0</v>
      </c>
      <c r="Y62" s="205">
        <f t="shared" si="84"/>
        <v>0</v>
      </c>
      <c r="Z62" s="205">
        <f t="shared" si="84"/>
        <v>0</v>
      </c>
      <c r="AA62" s="205">
        <f t="shared" si="84"/>
        <v>0</v>
      </c>
      <c r="AB62" s="205">
        <f t="shared" si="84"/>
        <v>0</v>
      </c>
      <c r="AC62" s="205">
        <f t="shared" si="84"/>
        <v>0</v>
      </c>
      <c r="AD62" s="205">
        <f t="shared" si="84"/>
        <v>0</v>
      </c>
      <c r="AE62" s="205">
        <f t="shared" si="84"/>
        <v>0</v>
      </c>
      <c r="AF62" s="205">
        <f t="shared" si="84"/>
        <v>0</v>
      </c>
      <c r="AG62" s="205">
        <f t="shared" si="84"/>
        <v>0</v>
      </c>
      <c r="AH62" s="205">
        <f t="shared" si="84"/>
        <v>0</v>
      </c>
      <c r="AI62" s="205">
        <f t="shared" si="84"/>
        <v>0</v>
      </c>
      <c r="AJ62" s="205">
        <f t="shared" si="84"/>
        <v>0</v>
      </c>
      <c r="AK62" s="205">
        <f t="shared" si="84"/>
        <v>0</v>
      </c>
      <c r="AL62" s="205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5">
        <f t="shared" si="85"/>
        <v>0</v>
      </c>
      <c r="AN62" s="205">
        <f t="shared" si="85"/>
        <v>0</v>
      </c>
      <c r="AO62" s="205">
        <f t="shared" si="85"/>
        <v>0</v>
      </c>
      <c r="AP62" s="205">
        <f t="shared" si="85"/>
        <v>0</v>
      </c>
      <c r="AQ62" s="205">
        <f t="shared" si="85"/>
        <v>0</v>
      </c>
      <c r="AR62" s="205">
        <f t="shared" si="85"/>
        <v>0</v>
      </c>
      <c r="AS62" s="205">
        <f t="shared" si="85"/>
        <v>0</v>
      </c>
      <c r="AT62" s="205">
        <f t="shared" si="85"/>
        <v>0</v>
      </c>
      <c r="AU62" s="205">
        <f t="shared" si="85"/>
        <v>0</v>
      </c>
      <c r="AV62" s="205">
        <f t="shared" si="85"/>
        <v>0</v>
      </c>
      <c r="AW62" s="205">
        <f t="shared" si="85"/>
        <v>0</v>
      </c>
      <c r="AX62" s="205">
        <f t="shared" si="85"/>
        <v>0</v>
      </c>
      <c r="AY62" s="205">
        <f t="shared" si="85"/>
        <v>0</v>
      </c>
      <c r="AZ62" s="205">
        <f t="shared" si="85"/>
        <v>0</v>
      </c>
      <c r="BA62" s="205">
        <f t="shared" si="85"/>
        <v>0</v>
      </c>
      <c r="BB62" s="205">
        <f t="shared" si="85"/>
        <v>0</v>
      </c>
      <c r="BC62" s="205">
        <f t="shared" si="85"/>
        <v>0</v>
      </c>
      <c r="BD62" s="205">
        <f t="shared" si="85"/>
        <v>0</v>
      </c>
      <c r="BE62" s="205">
        <f t="shared" si="85"/>
        <v>0</v>
      </c>
      <c r="BF62" s="205">
        <f t="shared" si="85"/>
        <v>0</v>
      </c>
      <c r="BG62" s="205">
        <f t="shared" si="85"/>
        <v>0</v>
      </c>
      <c r="BH62" s="205">
        <f t="shared" si="85"/>
        <v>0</v>
      </c>
      <c r="BI62" s="205">
        <f t="shared" si="85"/>
        <v>0</v>
      </c>
      <c r="BJ62" s="205">
        <f t="shared" si="85"/>
        <v>0</v>
      </c>
      <c r="BK62" s="205">
        <f t="shared" si="85"/>
        <v>0</v>
      </c>
      <c r="BL62" s="205">
        <f t="shared" si="85"/>
        <v>0</v>
      </c>
      <c r="BM62" s="205">
        <f t="shared" si="85"/>
        <v>0</v>
      </c>
      <c r="BN62" s="205">
        <f t="shared" si="85"/>
        <v>0</v>
      </c>
      <c r="BO62" s="205">
        <f t="shared" si="85"/>
        <v>0</v>
      </c>
      <c r="BP62" s="205">
        <f t="shared" si="85"/>
        <v>0</v>
      </c>
      <c r="BQ62" s="205">
        <f t="shared" si="85"/>
        <v>0</v>
      </c>
      <c r="BR62" s="205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5">
        <f t="shared" si="86"/>
        <v>0</v>
      </c>
      <c r="BT62" s="205">
        <f t="shared" si="86"/>
        <v>0</v>
      </c>
      <c r="BU62" s="205">
        <f t="shared" si="86"/>
        <v>0</v>
      </c>
      <c r="BV62" s="205">
        <f t="shared" si="86"/>
        <v>0</v>
      </c>
      <c r="BW62" s="205">
        <f t="shared" si="86"/>
        <v>0</v>
      </c>
      <c r="BX62" s="205">
        <f t="shared" si="86"/>
        <v>0</v>
      </c>
      <c r="BY62" s="205">
        <f t="shared" si="86"/>
        <v>0</v>
      </c>
      <c r="BZ62" s="205">
        <f t="shared" si="86"/>
        <v>0</v>
      </c>
      <c r="CA62" s="205">
        <f t="shared" si="86"/>
        <v>0</v>
      </c>
      <c r="CB62" s="205">
        <f t="shared" si="86"/>
        <v>0</v>
      </c>
      <c r="CC62" s="205">
        <f t="shared" si="86"/>
        <v>0</v>
      </c>
      <c r="CD62" s="205">
        <f t="shared" si="86"/>
        <v>0</v>
      </c>
      <c r="CE62" s="205">
        <f t="shared" si="86"/>
        <v>0</v>
      </c>
      <c r="CF62" s="205">
        <f t="shared" si="86"/>
        <v>0</v>
      </c>
      <c r="CG62" s="205">
        <f t="shared" si="86"/>
        <v>0</v>
      </c>
      <c r="CH62" s="205">
        <f t="shared" si="86"/>
        <v>0</v>
      </c>
      <c r="CI62" s="205">
        <f t="shared" si="86"/>
        <v>0</v>
      </c>
      <c r="CJ62" s="205">
        <f t="shared" si="86"/>
        <v>0</v>
      </c>
      <c r="CK62" s="205">
        <f t="shared" si="86"/>
        <v>0</v>
      </c>
      <c r="CL62" s="205">
        <f t="shared" si="86"/>
        <v>0</v>
      </c>
      <c r="CM62" s="205">
        <f t="shared" si="86"/>
        <v>0</v>
      </c>
      <c r="CN62" s="205">
        <f t="shared" si="86"/>
        <v>0</v>
      </c>
      <c r="CO62" s="205">
        <f t="shared" si="86"/>
        <v>0</v>
      </c>
      <c r="CP62" s="205">
        <f t="shared" si="86"/>
        <v>0</v>
      </c>
      <c r="CQ62" s="205">
        <f t="shared" si="86"/>
        <v>0</v>
      </c>
      <c r="CR62" s="205">
        <f t="shared" si="86"/>
        <v>0</v>
      </c>
      <c r="CS62" s="205">
        <f t="shared" si="86"/>
        <v>0</v>
      </c>
      <c r="CT62" s="205">
        <f t="shared" si="86"/>
        <v>0</v>
      </c>
      <c r="CU62" s="205">
        <f t="shared" si="86"/>
        <v>0</v>
      </c>
      <c r="CV62" s="205">
        <f t="shared" si="86"/>
        <v>0</v>
      </c>
      <c r="CW62" s="205">
        <f t="shared" si="86"/>
        <v>0</v>
      </c>
      <c r="CX62" s="205">
        <f t="shared" si="86"/>
        <v>0</v>
      </c>
      <c r="CY62" s="205">
        <f t="shared" si="86"/>
        <v>0</v>
      </c>
      <c r="CZ62" s="205">
        <f t="shared" si="86"/>
        <v>0</v>
      </c>
      <c r="DA62" s="205">
        <f t="shared" si="86"/>
        <v>0</v>
      </c>
    </row>
    <row r="63" spans="1:105" s="205" customFormat="1">
      <c r="A63" s="205" t="str">
        <f>Income!A76</f>
        <v>Animals sold</v>
      </c>
      <c r="F63" s="205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5">
        <f t="shared" si="87"/>
        <v>0</v>
      </c>
      <c r="H63" s="205">
        <f t="shared" si="87"/>
        <v>0</v>
      </c>
      <c r="I63" s="205">
        <f t="shared" si="87"/>
        <v>0</v>
      </c>
      <c r="J63" s="205">
        <f t="shared" si="87"/>
        <v>0</v>
      </c>
      <c r="K63" s="205">
        <f t="shared" si="87"/>
        <v>0</v>
      </c>
      <c r="L63" s="205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5">
        <f t="shared" si="87"/>
        <v>0</v>
      </c>
      <c r="N63" s="205">
        <f t="shared" si="87"/>
        <v>0</v>
      </c>
      <c r="O63" s="205">
        <f t="shared" si="87"/>
        <v>0</v>
      </c>
      <c r="P63" s="205">
        <f t="shared" si="87"/>
        <v>0</v>
      </c>
      <c r="Q63" s="205">
        <f t="shared" si="87"/>
        <v>0</v>
      </c>
      <c r="R63" s="205">
        <f t="shared" si="87"/>
        <v>0</v>
      </c>
      <c r="S63" s="205">
        <f t="shared" si="87"/>
        <v>0</v>
      </c>
      <c r="T63" s="205">
        <f t="shared" si="87"/>
        <v>0</v>
      </c>
      <c r="U63" s="205">
        <f t="shared" si="87"/>
        <v>104.41899279998181</v>
      </c>
      <c r="V63" s="205">
        <f t="shared" si="87"/>
        <v>313.25697839994467</v>
      </c>
      <c r="W63" s="205">
        <f t="shared" si="87"/>
        <v>522.09496399990758</v>
      </c>
      <c r="X63" s="205">
        <f t="shared" si="87"/>
        <v>730.93294959987043</v>
      </c>
      <c r="Y63" s="205">
        <f t="shared" si="87"/>
        <v>939.77093519983327</v>
      </c>
      <c r="Z63" s="205">
        <f t="shared" si="87"/>
        <v>1148.6089207997961</v>
      </c>
      <c r="AA63" s="205">
        <f t="shared" si="87"/>
        <v>1357.446906399759</v>
      </c>
      <c r="AB63" s="205">
        <f t="shared" si="87"/>
        <v>1566.284891999722</v>
      </c>
      <c r="AC63" s="205">
        <f t="shared" si="87"/>
        <v>1775.1228775996849</v>
      </c>
      <c r="AD63" s="205">
        <f t="shared" si="87"/>
        <v>1983.9608631996477</v>
      </c>
      <c r="AE63" s="205">
        <f t="shared" si="87"/>
        <v>2192.7988487996104</v>
      </c>
      <c r="AF63" s="205">
        <f t="shared" si="87"/>
        <v>2401.6368343995737</v>
      </c>
      <c r="AG63" s="205">
        <f t="shared" si="87"/>
        <v>2610.4748199995365</v>
      </c>
      <c r="AH63" s="205">
        <f t="shared" si="87"/>
        <v>2819.3128055994994</v>
      </c>
      <c r="AI63" s="205">
        <f t="shared" si="87"/>
        <v>3028.1507911994622</v>
      </c>
      <c r="AJ63" s="205">
        <f t="shared" si="87"/>
        <v>3236.9887767994251</v>
      </c>
      <c r="AK63" s="205">
        <f t="shared" si="87"/>
        <v>3445.8267623993875</v>
      </c>
      <c r="AL63" s="205">
        <f t="shared" si="87"/>
        <v>3654.6647479993503</v>
      </c>
      <c r="AM63" s="205">
        <f t="shared" si="87"/>
        <v>3863.5027335993132</v>
      </c>
      <c r="AN63" s="205">
        <f t="shared" si="87"/>
        <v>4072.340719199276</v>
      </c>
      <c r="AO63" s="205">
        <f t="shared" si="87"/>
        <v>4281.1787047992393</v>
      </c>
      <c r="AP63" s="205">
        <f t="shared" si="87"/>
        <v>4490.0166903992022</v>
      </c>
      <c r="AQ63" s="205">
        <f t="shared" si="87"/>
        <v>4698.854675999165</v>
      </c>
      <c r="AR63" s="205">
        <f t="shared" si="87"/>
        <v>4907.6926615991279</v>
      </c>
      <c r="AS63" s="205">
        <f t="shared" si="87"/>
        <v>5116.5306471990907</v>
      </c>
      <c r="AT63" s="205">
        <f t="shared" si="87"/>
        <v>5325.3686327990536</v>
      </c>
      <c r="AU63" s="205">
        <f t="shared" si="87"/>
        <v>5534.2066183990164</v>
      </c>
      <c r="AV63" s="205">
        <f t="shared" si="87"/>
        <v>5743.0446039989793</v>
      </c>
      <c r="AW63" s="205">
        <f t="shared" si="87"/>
        <v>5951.8825895989421</v>
      </c>
      <c r="AX63" s="205">
        <f t="shared" si="87"/>
        <v>6160.720575198905</v>
      </c>
      <c r="AY63" s="205">
        <f t="shared" si="87"/>
        <v>6369.5585607988678</v>
      </c>
      <c r="AZ63" s="205">
        <f t="shared" si="87"/>
        <v>6578.3965463988307</v>
      </c>
      <c r="BA63" s="205">
        <f t="shared" si="87"/>
        <v>6787.2345319987935</v>
      </c>
      <c r="BB63" s="205">
        <f t="shared" si="87"/>
        <v>6996.0725175987563</v>
      </c>
      <c r="BC63" s="205">
        <f t="shared" si="87"/>
        <v>7204.9105031987192</v>
      </c>
      <c r="BD63" s="205">
        <f t="shared" si="87"/>
        <v>7413.748488798682</v>
      </c>
      <c r="BE63" s="205">
        <f t="shared" si="87"/>
        <v>7673.3523637901817</v>
      </c>
      <c r="BF63" s="205">
        <f t="shared" si="87"/>
        <v>7932.9562387816823</v>
      </c>
      <c r="BG63" s="205">
        <f t="shared" si="87"/>
        <v>8192.5601137731828</v>
      </c>
      <c r="BH63" s="205">
        <f t="shared" si="87"/>
        <v>8452.1639887646816</v>
      </c>
      <c r="BI63" s="205">
        <f t="shared" si="87"/>
        <v>8711.7678637561821</v>
      </c>
      <c r="BJ63" s="205">
        <f t="shared" si="87"/>
        <v>8971.3717387476827</v>
      </c>
      <c r="BK63" s="205">
        <f t="shared" si="87"/>
        <v>9230.9756137391814</v>
      </c>
      <c r="BL63" s="205">
        <f t="shared" si="87"/>
        <v>9490.579488730682</v>
      </c>
      <c r="BM63" s="205">
        <f t="shared" si="87"/>
        <v>9750.1833637221825</v>
      </c>
      <c r="BN63" s="205">
        <f t="shared" si="87"/>
        <v>10009.787238713681</v>
      </c>
      <c r="BO63" s="205">
        <f t="shared" si="87"/>
        <v>10269.391113705182</v>
      </c>
      <c r="BP63" s="205">
        <f t="shared" si="87"/>
        <v>10528.994988696682</v>
      </c>
      <c r="BQ63" s="205">
        <f t="shared" si="87"/>
        <v>10788.598863688181</v>
      </c>
      <c r="BR63" s="205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11048.202738679682</v>
      </c>
      <c r="BS63" s="205">
        <f t="shared" si="89"/>
        <v>11307.806613671182</v>
      </c>
      <c r="BT63" s="205">
        <f t="shared" si="89"/>
        <v>11567.410488662681</v>
      </c>
      <c r="BU63" s="205">
        <f t="shared" si="89"/>
        <v>11827.014363654182</v>
      </c>
      <c r="BV63" s="205">
        <f t="shared" si="89"/>
        <v>12086.618238645682</v>
      </c>
      <c r="BW63" s="205">
        <f t="shared" si="89"/>
        <v>12346.222113637181</v>
      </c>
      <c r="BX63" s="205">
        <f t="shared" si="89"/>
        <v>12605.825988628683</v>
      </c>
      <c r="BY63" s="205">
        <f t="shared" si="89"/>
        <v>12865.429863620182</v>
      </c>
      <c r="BZ63" s="205">
        <f t="shared" si="89"/>
        <v>13125.033738611681</v>
      </c>
      <c r="CA63" s="205">
        <f t="shared" si="89"/>
        <v>13384.637613603183</v>
      </c>
      <c r="CB63" s="205">
        <f t="shared" si="89"/>
        <v>13644.241488594682</v>
      </c>
      <c r="CC63" s="205">
        <f t="shared" si="89"/>
        <v>13903.845363586181</v>
      </c>
      <c r="CD63" s="205">
        <f t="shared" si="89"/>
        <v>14163.449238577683</v>
      </c>
      <c r="CE63" s="205">
        <f t="shared" si="89"/>
        <v>14423.053113569182</v>
      </c>
      <c r="CF63" s="205">
        <f t="shared" si="89"/>
        <v>14682.65698856068</v>
      </c>
      <c r="CG63" s="205">
        <f t="shared" si="89"/>
        <v>14942.260863552183</v>
      </c>
      <c r="CH63" s="205">
        <f t="shared" si="89"/>
        <v>15201.864738543682</v>
      </c>
      <c r="CI63" s="205">
        <f t="shared" si="89"/>
        <v>16144.223694194983</v>
      </c>
      <c r="CJ63" s="205">
        <f t="shared" si="89"/>
        <v>17086.582649846285</v>
      </c>
      <c r="CK63" s="205">
        <f t="shared" si="89"/>
        <v>18028.941605497585</v>
      </c>
      <c r="CL63" s="205">
        <f t="shared" si="89"/>
        <v>18971.300561148884</v>
      </c>
      <c r="CM63" s="205">
        <f t="shared" si="89"/>
        <v>19913.659516800188</v>
      </c>
      <c r="CN63" s="205">
        <f t="shared" si="89"/>
        <v>20856.018472451487</v>
      </c>
      <c r="CO63" s="205">
        <f t="shared" si="89"/>
        <v>21798.377428102787</v>
      </c>
      <c r="CP63" s="205">
        <f t="shared" si="89"/>
        <v>22740.736383754091</v>
      </c>
      <c r="CQ63" s="205">
        <f t="shared" si="89"/>
        <v>23683.09533940539</v>
      </c>
      <c r="CR63" s="205">
        <f t="shared" si="89"/>
        <v>24625.45429505669</v>
      </c>
      <c r="CS63" s="205">
        <f t="shared" si="89"/>
        <v>25567.813250707994</v>
      </c>
      <c r="CT63" s="205">
        <f t="shared" si="89"/>
        <v>26510.172206359293</v>
      </c>
      <c r="CU63" s="205">
        <f t="shared" si="89"/>
        <v>27452.531162010593</v>
      </c>
      <c r="CV63" s="205">
        <f t="shared" si="89"/>
        <v>28394.890117661897</v>
      </c>
      <c r="CW63" s="205">
        <f t="shared" si="89"/>
        <v>28866.069595487545</v>
      </c>
      <c r="CX63" s="205">
        <f t="shared" si="89"/>
        <v>28866.069595487545</v>
      </c>
      <c r="CY63" s="205">
        <f t="shared" si="89"/>
        <v>28866.069595487545</v>
      </c>
      <c r="CZ63" s="205">
        <f t="shared" si="89"/>
        <v>28866.069595487545</v>
      </c>
      <c r="DA63" s="205">
        <f t="shared" si="89"/>
        <v>28866.069595487545</v>
      </c>
    </row>
    <row r="64" spans="1:105" s="205" customFormat="1">
      <c r="A64" s="205" t="str">
        <f>Income!A77</f>
        <v>Wild foods consumed and sold</v>
      </c>
      <c r="F64" s="205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1178.925965619884</v>
      </c>
      <c r="G64" s="205">
        <f t="shared" si="90"/>
        <v>1178.925965619884</v>
      </c>
      <c r="H64" s="205">
        <f t="shared" si="90"/>
        <v>1178.925965619884</v>
      </c>
      <c r="I64" s="205">
        <f t="shared" si="90"/>
        <v>1178.925965619884</v>
      </c>
      <c r="J64" s="205">
        <f t="shared" si="90"/>
        <v>1178.925965619884</v>
      </c>
      <c r="K64" s="205">
        <f t="shared" si="90"/>
        <v>1178.925965619884</v>
      </c>
      <c r="L64" s="205">
        <f t="shared" si="88"/>
        <v>1178.925965619884</v>
      </c>
      <c r="M64" s="205">
        <f t="shared" si="90"/>
        <v>1178.925965619884</v>
      </c>
      <c r="N64" s="205">
        <f t="shared" si="90"/>
        <v>1178.925965619884</v>
      </c>
      <c r="O64" s="205">
        <f t="shared" si="90"/>
        <v>1178.925965619884</v>
      </c>
      <c r="P64" s="205">
        <f t="shared" si="90"/>
        <v>1178.925965619884</v>
      </c>
      <c r="Q64" s="205">
        <f t="shared" si="90"/>
        <v>1178.925965619884</v>
      </c>
      <c r="R64" s="205">
        <f t="shared" si="90"/>
        <v>1178.925965619884</v>
      </c>
      <c r="S64" s="205">
        <f t="shared" si="90"/>
        <v>1178.925965619884</v>
      </c>
      <c r="T64" s="205">
        <f t="shared" si="90"/>
        <v>1178.925965619884</v>
      </c>
      <c r="U64" s="205">
        <f t="shared" si="90"/>
        <v>1167.4647280532256</v>
      </c>
      <c r="V64" s="205">
        <f t="shared" si="90"/>
        <v>1144.5422529199091</v>
      </c>
      <c r="W64" s="205">
        <f t="shared" si="90"/>
        <v>1121.6197777865927</v>
      </c>
      <c r="X64" s="205">
        <f t="shared" si="90"/>
        <v>1098.6973026532762</v>
      </c>
      <c r="Y64" s="205">
        <f t="shared" si="90"/>
        <v>1075.7748275199597</v>
      </c>
      <c r="Z64" s="205">
        <f t="shared" si="90"/>
        <v>1052.8523523866431</v>
      </c>
      <c r="AA64" s="205">
        <f t="shared" si="90"/>
        <v>1029.9298772533266</v>
      </c>
      <c r="AB64" s="205">
        <f t="shared" si="90"/>
        <v>1007.0074021200101</v>
      </c>
      <c r="AC64" s="205">
        <f t="shared" si="90"/>
        <v>984.08492698669352</v>
      </c>
      <c r="AD64" s="205">
        <f t="shared" si="90"/>
        <v>961.16245185337698</v>
      </c>
      <c r="AE64" s="205">
        <f t="shared" si="90"/>
        <v>938.23997672006044</v>
      </c>
      <c r="AF64" s="205">
        <f t="shared" si="90"/>
        <v>915.3175015867439</v>
      </c>
      <c r="AG64" s="205">
        <f t="shared" si="90"/>
        <v>892.39502645342736</v>
      </c>
      <c r="AH64" s="205">
        <f t="shared" si="90"/>
        <v>869.47255132011094</v>
      </c>
      <c r="AI64" s="205">
        <f t="shared" si="90"/>
        <v>846.5500761867944</v>
      </c>
      <c r="AJ64" s="205">
        <f t="shared" si="90"/>
        <v>823.62760105347786</v>
      </c>
      <c r="AK64" s="205">
        <f t="shared" si="90"/>
        <v>800.70512592016144</v>
      </c>
      <c r="AL64" s="205">
        <f t="shared" si="90"/>
        <v>777.7826507868449</v>
      </c>
      <c r="AM64" s="205">
        <f t="shared" si="90"/>
        <v>754.86017565352836</v>
      </c>
      <c r="AN64" s="205">
        <f t="shared" si="90"/>
        <v>731.93770052021182</v>
      </c>
      <c r="AO64" s="205">
        <f t="shared" si="90"/>
        <v>709.01522538689528</v>
      </c>
      <c r="AP64" s="205">
        <f t="shared" si="90"/>
        <v>686.09275025357874</v>
      </c>
      <c r="AQ64" s="205">
        <f t="shared" si="90"/>
        <v>663.17027512026232</v>
      </c>
      <c r="AR64" s="205">
        <f t="shared" si="90"/>
        <v>640.24779998694578</v>
      </c>
      <c r="AS64" s="205">
        <f t="shared" si="90"/>
        <v>617.32532485362924</v>
      </c>
      <c r="AT64" s="205">
        <f t="shared" si="90"/>
        <v>594.4028497203127</v>
      </c>
      <c r="AU64" s="205">
        <f t="shared" si="90"/>
        <v>571.48037458699616</v>
      </c>
      <c r="AV64" s="205">
        <f t="shared" si="90"/>
        <v>548.55789945367962</v>
      </c>
      <c r="AW64" s="205">
        <f t="shared" si="90"/>
        <v>525.63542432036309</v>
      </c>
      <c r="AX64" s="205">
        <f t="shared" si="90"/>
        <v>502.71294918704666</v>
      </c>
      <c r="AY64" s="205">
        <f t="shared" si="90"/>
        <v>479.79047405373012</v>
      </c>
      <c r="AZ64" s="205">
        <f t="shared" si="90"/>
        <v>456.86799892041358</v>
      </c>
      <c r="BA64" s="205">
        <f t="shared" si="90"/>
        <v>433.94552378709704</v>
      </c>
      <c r="BB64" s="205">
        <f t="shared" si="90"/>
        <v>411.02304865378051</v>
      </c>
      <c r="BC64" s="205">
        <f t="shared" si="90"/>
        <v>388.10057352046397</v>
      </c>
      <c r="BD64" s="205">
        <f t="shared" si="90"/>
        <v>365.17809838714754</v>
      </c>
      <c r="BE64" s="205">
        <f t="shared" si="90"/>
        <v>353.00549510757577</v>
      </c>
      <c r="BF64" s="205">
        <f t="shared" si="90"/>
        <v>340.83289182800422</v>
      </c>
      <c r="BG64" s="205">
        <f t="shared" si="90"/>
        <v>328.66028854843262</v>
      </c>
      <c r="BH64" s="205">
        <f t="shared" si="90"/>
        <v>316.48768526886107</v>
      </c>
      <c r="BI64" s="205">
        <f t="shared" si="90"/>
        <v>304.31508198928947</v>
      </c>
      <c r="BJ64" s="205">
        <f t="shared" si="90"/>
        <v>292.14247870971792</v>
      </c>
      <c r="BK64" s="205">
        <f t="shared" si="90"/>
        <v>279.96987543014632</v>
      </c>
      <c r="BL64" s="205">
        <f t="shared" si="90"/>
        <v>267.79727215057471</v>
      </c>
      <c r="BM64" s="205">
        <f t="shared" si="90"/>
        <v>255.62466887100317</v>
      </c>
      <c r="BN64" s="205">
        <f t="shared" si="90"/>
        <v>243.45206559143159</v>
      </c>
      <c r="BO64" s="205">
        <f t="shared" si="90"/>
        <v>231.27946231186002</v>
      </c>
      <c r="BP64" s="205">
        <f t="shared" si="90"/>
        <v>219.10685903228841</v>
      </c>
      <c r="BQ64" s="205">
        <f t="shared" si="90"/>
        <v>206.93425575271684</v>
      </c>
      <c r="BR64" s="205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194.76165247314526</v>
      </c>
      <c r="BS64" s="205">
        <f t="shared" si="91"/>
        <v>182.58904919357369</v>
      </c>
      <c r="BT64" s="205">
        <f t="shared" si="91"/>
        <v>170.41644591400211</v>
      </c>
      <c r="BU64" s="205">
        <f t="shared" si="91"/>
        <v>158.24384263443054</v>
      </c>
      <c r="BV64" s="205">
        <f t="shared" si="91"/>
        <v>146.07123935485896</v>
      </c>
      <c r="BW64" s="205">
        <f t="shared" si="91"/>
        <v>133.89863607528738</v>
      </c>
      <c r="BX64" s="205">
        <f t="shared" si="91"/>
        <v>121.72603279571581</v>
      </c>
      <c r="BY64" s="205">
        <f t="shared" si="91"/>
        <v>109.55342951614421</v>
      </c>
      <c r="BZ64" s="205">
        <f t="shared" si="91"/>
        <v>97.380826236572659</v>
      </c>
      <c r="CA64" s="205">
        <f t="shared" si="91"/>
        <v>85.208222957001055</v>
      </c>
      <c r="CB64" s="205">
        <f t="shared" si="91"/>
        <v>73.035619677429452</v>
      </c>
      <c r="CC64" s="205">
        <f t="shared" si="91"/>
        <v>60.863016397857905</v>
      </c>
      <c r="CD64" s="205">
        <f t="shared" si="91"/>
        <v>48.690413118286301</v>
      </c>
      <c r="CE64" s="205">
        <f t="shared" si="91"/>
        <v>36.517809838714754</v>
      </c>
      <c r="CF64" s="205">
        <f t="shared" si="91"/>
        <v>24.345206559143151</v>
      </c>
      <c r="CG64" s="205">
        <f t="shared" si="91"/>
        <v>12.172603279571604</v>
      </c>
      <c r="CH64" s="205">
        <f t="shared" si="91"/>
        <v>0</v>
      </c>
      <c r="CI64" s="205">
        <f t="shared" si="91"/>
        <v>0</v>
      </c>
      <c r="CJ64" s="205">
        <f t="shared" si="91"/>
        <v>0</v>
      </c>
      <c r="CK64" s="205">
        <f t="shared" si="91"/>
        <v>0</v>
      </c>
      <c r="CL64" s="205">
        <f t="shared" si="91"/>
        <v>0</v>
      </c>
      <c r="CM64" s="205">
        <f t="shared" si="91"/>
        <v>0</v>
      </c>
      <c r="CN64" s="205">
        <f t="shared" si="91"/>
        <v>0</v>
      </c>
      <c r="CO64" s="205">
        <f t="shared" si="91"/>
        <v>0</v>
      </c>
      <c r="CP64" s="205">
        <f t="shared" si="91"/>
        <v>0</v>
      </c>
      <c r="CQ64" s="205">
        <f t="shared" si="91"/>
        <v>0</v>
      </c>
      <c r="CR64" s="205">
        <f t="shared" si="91"/>
        <v>0</v>
      </c>
      <c r="CS64" s="205">
        <f t="shared" si="91"/>
        <v>0</v>
      </c>
      <c r="CT64" s="205">
        <f t="shared" si="91"/>
        <v>0</v>
      </c>
      <c r="CU64" s="205">
        <f t="shared" si="91"/>
        <v>0</v>
      </c>
      <c r="CV64" s="205">
        <f t="shared" si="91"/>
        <v>0</v>
      </c>
      <c r="CW64" s="205">
        <f t="shared" si="91"/>
        <v>26.094999999999942</v>
      </c>
      <c r="CX64" s="205">
        <f t="shared" si="91"/>
        <v>78.284999999999826</v>
      </c>
      <c r="CY64" s="205">
        <f t="shared" si="91"/>
        <v>130.47499999999971</v>
      </c>
      <c r="CZ64" s="205">
        <f t="shared" si="91"/>
        <v>182.66499999999959</v>
      </c>
      <c r="DA64" s="205">
        <f t="shared" si="91"/>
        <v>234.85499999999948</v>
      </c>
    </row>
    <row r="65" spans="1:105" s="205" customFormat="1">
      <c r="A65" s="205" t="str">
        <f>Income!A78</f>
        <v>Labour - casual</v>
      </c>
      <c r="F65" s="205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6054.5357837992951</v>
      </c>
      <c r="G65" s="205">
        <f t="shared" si="92"/>
        <v>6054.5357837992951</v>
      </c>
      <c r="H65" s="205">
        <f t="shared" si="92"/>
        <v>6054.5357837992951</v>
      </c>
      <c r="I65" s="205">
        <f t="shared" si="92"/>
        <v>6054.5357837992951</v>
      </c>
      <c r="J65" s="205">
        <f t="shared" si="92"/>
        <v>6054.5357837992951</v>
      </c>
      <c r="K65" s="205">
        <f t="shared" si="92"/>
        <v>6054.5357837992951</v>
      </c>
      <c r="L65" s="205">
        <f t="shared" si="88"/>
        <v>6054.5357837992951</v>
      </c>
      <c r="M65" s="205">
        <f t="shared" si="92"/>
        <v>6054.5357837992951</v>
      </c>
      <c r="N65" s="205">
        <f t="shared" si="92"/>
        <v>6054.5357837992951</v>
      </c>
      <c r="O65" s="205">
        <f t="shared" si="92"/>
        <v>6054.5357837992951</v>
      </c>
      <c r="P65" s="205">
        <f t="shared" si="92"/>
        <v>6054.5357837992951</v>
      </c>
      <c r="Q65" s="205">
        <f t="shared" si="92"/>
        <v>6054.5357837992951</v>
      </c>
      <c r="R65" s="205">
        <f t="shared" si="92"/>
        <v>6054.5357837992951</v>
      </c>
      <c r="S65" s="205">
        <f t="shared" si="92"/>
        <v>6054.5357837992951</v>
      </c>
      <c r="T65" s="205">
        <f t="shared" si="92"/>
        <v>6054.5357837992951</v>
      </c>
      <c r="U65" s="205">
        <f t="shared" si="92"/>
        <v>5969.2606319147981</v>
      </c>
      <c r="V65" s="205">
        <f t="shared" si="92"/>
        <v>5798.710328145803</v>
      </c>
      <c r="W65" s="205">
        <f t="shared" si="92"/>
        <v>5628.1600243768089</v>
      </c>
      <c r="X65" s="205">
        <f t="shared" si="92"/>
        <v>5457.6097206078148</v>
      </c>
      <c r="Y65" s="205">
        <f t="shared" si="92"/>
        <v>5287.0594168388207</v>
      </c>
      <c r="Z65" s="205">
        <f t="shared" si="92"/>
        <v>5116.5091130698265</v>
      </c>
      <c r="AA65" s="205">
        <f t="shared" si="92"/>
        <v>4945.9588093008324</v>
      </c>
      <c r="AB65" s="205">
        <f t="shared" si="92"/>
        <v>4775.4085055318383</v>
      </c>
      <c r="AC65" s="205">
        <f t="shared" si="92"/>
        <v>4604.8582017628432</v>
      </c>
      <c r="AD65" s="205">
        <f t="shared" si="92"/>
        <v>4434.3078979938491</v>
      </c>
      <c r="AE65" s="205">
        <f t="shared" si="92"/>
        <v>4263.757594224855</v>
      </c>
      <c r="AF65" s="205">
        <f t="shared" si="92"/>
        <v>4093.2072904558609</v>
      </c>
      <c r="AG65" s="205">
        <f t="shared" si="92"/>
        <v>3922.6569866868667</v>
      </c>
      <c r="AH65" s="205">
        <f t="shared" si="92"/>
        <v>3752.1066829178726</v>
      </c>
      <c r="AI65" s="205">
        <f t="shared" si="92"/>
        <v>3581.5563791488785</v>
      </c>
      <c r="AJ65" s="205">
        <f t="shared" si="92"/>
        <v>3411.0060753798839</v>
      </c>
      <c r="AK65" s="205">
        <f t="shared" si="92"/>
        <v>3240.4557716108902</v>
      </c>
      <c r="AL65" s="205">
        <f t="shared" si="92"/>
        <v>3069.9054678418961</v>
      </c>
      <c r="AM65" s="205">
        <f t="shared" si="92"/>
        <v>2899.3551640729015</v>
      </c>
      <c r="AN65" s="205">
        <f t="shared" si="92"/>
        <v>2728.8048603039074</v>
      </c>
      <c r="AO65" s="205">
        <f t="shared" si="92"/>
        <v>2558.2545565349133</v>
      </c>
      <c r="AP65" s="205">
        <f t="shared" si="92"/>
        <v>2387.7042527659191</v>
      </c>
      <c r="AQ65" s="205">
        <f t="shared" si="92"/>
        <v>2217.1539489969246</v>
      </c>
      <c r="AR65" s="205">
        <f t="shared" si="92"/>
        <v>2046.6036452279304</v>
      </c>
      <c r="AS65" s="205">
        <f t="shared" si="92"/>
        <v>1876.0533414589363</v>
      </c>
      <c r="AT65" s="205">
        <f t="shared" si="92"/>
        <v>1705.5030376899422</v>
      </c>
      <c r="AU65" s="205">
        <f t="shared" si="92"/>
        <v>1534.952733920948</v>
      </c>
      <c r="AV65" s="205">
        <f t="shared" si="92"/>
        <v>1364.4024301519539</v>
      </c>
      <c r="AW65" s="205">
        <f t="shared" si="92"/>
        <v>1193.8521263829589</v>
      </c>
      <c r="AX65" s="205">
        <f t="shared" si="92"/>
        <v>1023.3018226139648</v>
      </c>
      <c r="AY65" s="205">
        <f t="shared" si="92"/>
        <v>852.75151884497063</v>
      </c>
      <c r="AZ65" s="205">
        <f t="shared" si="92"/>
        <v>682.20121507597651</v>
      </c>
      <c r="BA65" s="205">
        <f t="shared" si="92"/>
        <v>511.65091130698238</v>
      </c>
      <c r="BB65" s="205">
        <f t="shared" si="92"/>
        <v>341.10060753798825</v>
      </c>
      <c r="BC65" s="205">
        <f t="shared" si="92"/>
        <v>170.55030376899413</v>
      </c>
      <c r="BD65" s="205">
        <f t="shared" si="92"/>
        <v>0</v>
      </c>
      <c r="BE65" s="205">
        <f t="shared" si="92"/>
        <v>6290.4267883629027</v>
      </c>
      <c r="BF65" s="205">
        <f t="shared" si="92"/>
        <v>12580.853576725805</v>
      </c>
      <c r="BG65" s="205">
        <f t="shared" si="92"/>
        <v>18871.280365088707</v>
      </c>
      <c r="BH65" s="205">
        <f t="shared" si="92"/>
        <v>25161.707153451611</v>
      </c>
      <c r="BI65" s="205">
        <f t="shared" si="92"/>
        <v>31452.133941814514</v>
      </c>
      <c r="BJ65" s="205">
        <f t="shared" si="92"/>
        <v>37742.560730177414</v>
      </c>
      <c r="BK65" s="205">
        <f t="shared" si="92"/>
        <v>44032.987518540322</v>
      </c>
      <c r="BL65" s="205">
        <f t="shared" si="92"/>
        <v>50323.414306903222</v>
      </c>
      <c r="BM65" s="205">
        <f t="shared" si="92"/>
        <v>56613.841095266122</v>
      </c>
      <c r="BN65" s="205">
        <f t="shared" si="92"/>
        <v>62904.267883629029</v>
      </c>
      <c r="BO65" s="205">
        <f t="shared" si="92"/>
        <v>69194.694671991936</v>
      </c>
      <c r="BP65" s="205">
        <f t="shared" si="92"/>
        <v>75485.121460354829</v>
      </c>
      <c r="BQ65" s="205">
        <f t="shared" si="92"/>
        <v>81775.548248717736</v>
      </c>
      <c r="BR65" s="205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88065.975037080643</v>
      </c>
      <c r="BS65" s="205">
        <f t="shared" si="93"/>
        <v>94356.401825443536</v>
      </c>
      <c r="BT65" s="205">
        <f t="shared" si="93"/>
        <v>100646.82861380644</v>
      </c>
      <c r="BU65" s="205">
        <f t="shared" si="93"/>
        <v>106937.25540216935</v>
      </c>
      <c r="BV65" s="205">
        <f t="shared" si="93"/>
        <v>113227.68219053224</v>
      </c>
      <c r="BW65" s="205">
        <f t="shared" si="93"/>
        <v>119518.10897889515</v>
      </c>
      <c r="BX65" s="205">
        <f t="shared" si="93"/>
        <v>125808.53576725806</v>
      </c>
      <c r="BY65" s="205">
        <f t="shared" si="93"/>
        <v>132098.96255562096</v>
      </c>
      <c r="BZ65" s="205">
        <f t="shared" si="93"/>
        <v>138389.38934398387</v>
      </c>
      <c r="CA65" s="205">
        <f t="shared" si="93"/>
        <v>144679.81613234675</v>
      </c>
      <c r="CB65" s="205">
        <f t="shared" si="93"/>
        <v>150970.24292070966</v>
      </c>
      <c r="CC65" s="205">
        <f t="shared" si="93"/>
        <v>157260.66970907256</v>
      </c>
      <c r="CD65" s="205">
        <f t="shared" si="93"/>
        <v>163551.09649743547</v>
      </c>
      <c r="CE65" s="205">
        <f t="shared" si="93"/>
        <v>169841.52328579838</v>
      </c>
      <c r="CF65" s="205">
        <f t="shared" si="93"/>
        <v>176131.95007416129</v>
      </c>
      <c r="CG65" s="205">
        <f t="shared" si="93"/>
        <v>182422.37686252416</v>
      </c>
      <c r="CH65" s="205">
        <f t="shared" si="93"/>
        <v>188712.80365088707</v>
      </c>
      <c r="CI65" s="205">
        <f t="shared" si="93"/>
        <v>199992.18961622746</v>
      </c>
      <c r="CJ65" s="205">
        <f t="shared" si="93"/>
        <v>211271.57558156783</v>
      </c>
      <c r="CK65" s="205">
        <f t="shared" si="93"/>
        <v>222550.96154690822</v>
      </c>
      <c r="CL65" s="205">
        <f t="shared" si="93"/>
        <v>233830.34751224858</v>
      </c>
      <c r="CM65" s="205">
        <f t="shared" si="93"/>
        <v>245109.73347758898</v>
      </c>
      <c r="CN65" s="205">
        <f t="shared" si="93"/>
        <v>256389.11944292934</v>
      </c>
      <c r="CO65" s="205">
        <f t="shared" si="93"/>
        <v>267668.5054082697</v>
      </c>
      <c r="CP65" s="205">
        <f t="shared" si="93"/>
        <v>278947.89137361012</v>
      </c>
      <c r="CQ65" s="205">
        <f t="shared" si="93"/>
        <v>290227.27733895049</v>
      </c>
      <c r="CR65" s="205">
        <f t="shared" si="93"/>
        <v>301506.66330429085</v>
      </c>
      <c r="CS65" s="205">
        <f t="shared" si="93"/>
        <v>312786.04926963127</v>
      </c>
      <c r="CT65" s="205">
        <f t="shared" si="93"/>
        <v>324065.43523497164</v>
      </c>
      <c r="CU65" s="205">
        <f t="shared" si="93"/>
        <v>335344.821200312</v>
      </c>
      <c r="CV65" s="205">
        <f t="shared" si="93"/>
        <v>346624.20716565242</v>
      </c>
      <c r="CW65" s="205">
        <f t="shared" si="93"/>
        <v>352263.90014832257</v>
      </c>
      <c r="CX65" s="205">
        <f t="shared" si="93"/>
        <v>352263.90014832257</v>
      </c>
      <c r="CY65" s="205">
        <f t="shared" si="93"/>
        <v>352263.90014832257</v>
      </c>
      <c r="CZ65" s="205">
        <f t="shared" si="93"/>
        <v>352263.90014832257</v>
      </c>
      <c r="DA65" s="205">
        <f t="shared" si="93"/>
        <v>352263.90014832257</v>
      </c>
    </row>
    <row r="66" spans="1:105" s="205" customFormat="1">
      <c r="A66" s="205" t="str">
        <f>Income!A79</f>
        <v>Labour - formal emp</v>
      </c>
      <c r="F66" s="205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5871.0650024720435</v>
      </c>
      <c r="G66" s="205">
        <f t="shared" si="94"/>
        <v>5871.0650024720435</v>
      </c>
      <c r="H66" s="205">
        <f t="shared" si="94"/>
        <v>5871.0650024720435</v>
      </c>
      <c r="I66" s="205">
        <f t="shared" si="94"/>
        <v>5871.0650024720435</v>
      </c>
      <c r="J66" s="205">
        <f t="shared" si="94"/>
        <v>5871.0650024720435</v>
      </c>
      <c r="K66" s="205">
        <f t="shared" si="94"/>
        <v>5871.0650024720435</v>
      </c>
      <c r="L66" s="205">
        <f t="shared" si="88"/>
        <v>5871.0650024720435</v>
      </c>
      <c r="M66" s="205">
        <f t="shared" si="94"/>
        <v>5871.0650024720435</v>
      </c>
      <c r="N66" s="205">
        <f t="shared" si="94"/>
        <v>5871.0650024720435</v>
      </c>
      <c r="O66" s="205">
        <f t="shared" si="94"/>
        <v>5871.0650024720435</v>
      </c>
      <c r="P66" s="205">
        <f t="shared" si="94"/>
        <v>5871.0650024720435</v>
      </c>
      <c r="Q66" s="205">
        <f t="shared" si="94"/>
        <v>5871.0650024720435</v>
      </c>
      <c r="R66" s="205">
        <f t="shared" si="94"/>
        <v>5871.0650024720435</v>
      </c>
      <c r="S66" s="205">
        <f t="shared" si="94"/>
        <v>5871.0650024720435</v>
      </c>
      <c r="T66" s="205">
        <f t="shared" si="94"/>
        <v>5871.0650024720435</v>
      </c>
      <c r="U66" s="205">
        <f t="shared" si="94"/>
        <v>5788.3739460991974</v>
      </c>
      <c r="V66" s="205">
        <f t="shared" si="94"/>
        <v>5622.9918333535061</v>
      </c>
      <c r="W66" s="205">
        <f t="shared" si="94"/>
        <v>5457.6097206078148</v>
      </c>
      <c r="X66" s="205">
        <f t="shared" si="94"/>
        <v>5292.2276078621235</v>
      </c>
      <c r="Y66" s="205">
        <f t="shared" si="94"/>
        <v>5126.8454951164322</v>
      </c>
      <c r="Z66" s="205">
        <f t="shared" si="94"/>
        <v>4961.4633823707409</v>
      </c>
      <c r="AA66" s="205">
        <f t="shared" si="94"/>
        <v>4796.0812696250496</v>
      </c>
      <c r="AB66" s="205">
        <f t="shared" si="94"/>
        <v>4630.6991568793583</v>
      </c>
      <c r="AC66" s="205">
        <f t="shared" si="94"/>
        <v>4465.317044133667</v>
      </c>
      <c r="AD66" s="205">
        <f t="shared" si="94"/>
        <v>4299.9349313879757</v>
      </c>
      <c r="AE66" s="205">
        <f t="shared" si="94"/>
        <v>4134.5528186422835</v>
      </c>
      <c r="AF66" s="205">
        <f t="shared" si="94"/>
        <v>3969.1707058965926</v>
      </c>
      <c r="AG66" s="205">
        <f t="shared" si="94"/>
        <v>3803.7885931509013</v>
      </c>
      <c r="AH66" s="205">
        <f t="shared" si="94"/>
        <v>3638.40648040521</v>
      </c>
      <c r="AI66" s="205">
        <f t="shared" si="94"/>
        <v>3473.0243676595187</v>
      </c>
      <c r="AJ66" s="205">
        <f t="shared" si="94"/>
        <v>3307.6422549138269</v>
      </c>
      <c r="AK66" s="205">
        <f t="shared" si="94"/>
        <v>3142.2601421681361</v>
      </c>
      <c r="AL66" s="205">
        <f t="shared" si="94"/>
        <v>2976.8780294224448</v>
      </c>
      <c r="AM66" s="205">
        <f t="shared" si="94"/>
        <v>2811.4959166767535</v>
      </c>
      <c r="AN66" s="205">
        <f t="shared" si="94"/>
        <v>2646.1138039310622</v>
      </c>
      <c r="AO66" s="205">
        <f t="shared" si="94"/>
        <v>2480.7316911853704</v>
      </c>
      <c r="AP66" s="205">
        <f t="shared" si="94"/>
        <v>2315.3495784396791</v>
      </c>
      <c r="AQ66" s="205">
        <f t="shared" si="94"/>
        <v>2149.9674656939878</v>
      </c>
      <c r="AR66" s="205">
        <f t="shared" si="94"/>
        <v>1984.5853529482965</v>
      </c>
      <c r="AS66" s="205">
        <f t="shared" si="94"/>
        <v>1819.2032402026052</v>
      </c>
      <c r="AT66" s="205">
        <f t="shared" si="94"/>
        <v>1653.8211274569139</v>
      </c>
      <c r="AU66" s="205">
        <f t="shared" si="94"/>
        <v>1488.4390147112226</v>
      </c>
      <c r="AV66" s="205">
        <f t="shared" si="94"/>
        <v>1323.0569019655313</v>
      </c>
      <c r="AW66" s="205">
        <f t="shared" si="94"/>
        <v>1157.67478921984</v>
      </c>
      <c r="AX66" s="205">
        <f t="shared" si="94"/>
        <v>992.29267647414872</v>
      </c>
      <c r="AY66" s="205">
        <f t="shared" si="94"/>
        <v>826.91056372845742</v>
      </c>
      <c r="AZ66" s="205">
        <f t="shared" si="94"/>
        <v>661.52845098276612</v>
      </c>
      <c r="BA66" s="205">
        <f t="shared" si="94"/>
        <v>496.14633823707391</v>
      </c>
      <c r="BB66" s="205">
        <f t="shared" si="94"/>
        <v>330.7642254913826</v>
      </c>
      <c r="BC66" s="205">
        <f t="shared" si="94"/>
        <v>165.3821127456913</v>
      </c>
      <c r="BD66" s="205">
        <f t="shared" si="94"/>
        <v>0</v>
      </c>
      <c r="BE66" s="205">
        <f t="shared" si="94"/>
        <v>0</v>
      </c>
      <c r="BF66" s="205">
        <f t="shared" si="94"/>
        <v>0</v>
      </c>
      <c r="BG66" s="205">
        <f t="shared" si="94"/>
        <v>0</v>
      </c>
      <c r="BH66" s="205">
        <f t="shared" si="94"/>
        <v>0</v>
      </c>
      <c r="BI66" s="205">
        <f t="shared" si="94"/>
        <v>0</v>
      </c>
      <c r="BJ66" s="205">
        <f t="shared" si="94"/>
        <v>0</v>
      </c>
      <c r="BK66" s="205">
        <f t="shared" si="94"/>
        <v>0</v>
      </c>
      <c r="BL66" s="205">
        <f t="shared" si="94"/>
        <v>0</v>
      </c>
      <c r="BM66" s="205">
        <f t="shared" si="94"/>
        <v>0</v>
      </c>
      <c r="BN66" s="205">
        <f t="shared" si="94"/>
        <v>0</v>
      </c>
      <c r="BO66" s="205">
        <f t="shared" si="94"/>
        <v>0</v>
      </c>
      <c r="BP66" s="205">
        <f t="shared" si="94"/>
        <v>0</v>
      </c>
      <c r="BQ66" s="205">
        <f t="shared" si="94"/>
        <v>0</v>
      </c>
      <c r="BR66" s="205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5">
        <f t="shared" si="95"/>
        <v>0</v>
      </c>
      <c r="BT66" s="205">
        <f t="shared" si="95"/>
        <v>0</v>
      </c>
      <c r="BU66" s="205">
        <f t="shared" si="95"/>
        <v>0</v>
      </c>
      <c r="BV66" s="205">
        <f t="shared" si="95"/>
        <v>0</v>
      </c>
      <c r="BW66" s="205">
        <f t="shared" si="95"/>
        <v>0</v>
      </c>
      <c r="BX66" s="205">
        <f t="shared" si="95"/>
        <v>0</v>
      </c>
      <c r="BY66" s="205">
        <f t="shared" si="95"/>
        <v>0</v>
      </c>
      <c r="BZ66" s="205">
        <f t="shared" si="95"/>
        <v>0</v>
      </c>
      <c r="CA66" s="205">
        <f t="shared" si="95"/>
        <v>0</v>
      </c>
      <c r="CB66" s="205">
        <f t="shared" si="95"/>
        <v>0</v>
      </c>
      <c r="CC66" s="205">
        <f t="shared" si="95"/>
        <v>0</v>
      </c>
      <c r="CD66" s="205">
        <f t="shared" si="95"/>
        <v>0</v>
      </c>
      <c r="CE66" s="205">
        <f t="shared" si="95"/>
        <v>0</v>
      </c>
      <c r="CF66" s="205">
        <f t="shared" si="95"/>
        <v>0</v>
      </c>
      <c r="CG66" s="205">
        <f t="shared" si="95"/>
        <v>0</v>
      </c>
      <c r="CH66" s="205">
        <f t="shared" si="95"/>
        <v>0</v>
      </c>
      <c r="CI66" s="205">
        <f t="shared" si="95"/>
        <v>4049.0103465324432</v>
      </c>
      <c r="CJ66" s="205">
        <f t="shared" si="95"/>
        <v>8098.0206930648865</v>
      </c>
      <c r="CK66" s="205">
        <f t="shared" si="95"/>
        <v>12147.03103959733</v>
      </c>
      <c r="CL66" s="205">
        <f t="shared" si="95"/>
        <v>16196.041386129773</v>
      </c>
      <c r="CM66" s="205">
        <f t="shared" si="95"/>
        <v>20245.051732662218</v>
      </c>
      <c r="CN66" s="205">
        <f t="shared" si="95"/>
        <v>24294.06207919466</v>
      </c>
      <c r="CO66" s="205">
        <f t="shared" si="95"/>
        <v>28343.072425727103</v>
      </c>
      <c r="CP66" s="205">
        <f t="shared" si="95"/>
        <v>32392.082772259546</v>
      </c>
      <c r="CQ66" s="205">
        <f t="shared" si="95"/>
        <v>36441.093118791992</v>
      </c>
      <c r="CR66" s="205">
        <f t="shared" si="95"/>
        <v>40490.103465324435</v>
      </c>
      <c r="CS66" s="205">
        <f t="shared" si="95"/>
        <v>44539.113811856878</v>
      </c>
      <c r="CT66" s="205">
        <f t="shared" si="95"/>
        <v>48588.124158389321</v>
      </c>
      <c r="CU66" s="205">
        <f t="shared" si="95"/>
        <v>52637.134504921763</v>
      </c>
      <c r="CV66" s="205">
        <f t="shared" si="95"/>
        <v>56686.144851454206</v>
      </c>
      <c r="CW66" s="205">
        <f t="shared" si="95"/>
        <v>60046.500024720423</v>
      </c>
      <c r="CX66" s="205">
        <f t="shared" si="95"/>
        <v>62718.200024720427</v>
      </c>
      <c r="CY66" s="205">
        <f t="shared" si="95"/>
        <v>65389.900024720424</v>
      </c>
      <c r="CZ66" s="205">
        <f t="shared" si="95"/>
        <v>68061.600024720421</v>
      </c>
      <c r="DA66" s="205">
        <f t="shared" si="95"/>
        <v>70733.300024720418</v>
      </c>
    </row>
    <row r="67" spans="1:105" s="205" customFormat="1">
      <c r="A67" s="205" t="str">
        <f>Income!A81</f>
        <v>Self - employment</v>
      </c>
      <c r="F67" s="205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5">
        <f t="shared" si="96"/>
        <v>0</v>
      </c>
      <c r="H67" s="205">
        <f t="shared" si="96"/>
        <v>0</v>
      </c>
      <c r="I67" s="205">
        <f t="shared" si="96"/>
        <v>0</v>
      </c>
      <c r="J67" s="205">
        <f t="shared" si="96"/>
        <v>0</v>
      </c>
      <c r="K67" s="205">
        <f t="shared" si="96"/>
        <v>0</v>
      </c>
      <c r="L67" s="205">
        <f t="shared" si="88"/>
        <v>0</v>
      </c>
      <c r="M67" s="205">
        <f t="shared" si="96"/>
        <v>0</v>
      </c>
      <c r="N67" s="205">
        <f t="shared" si="96"/>
        <v>0</v>
      </c>
      <c r="O67" s="205">
        <f t="shared" si="96"/>
        <v>0</v>
      </c>
      <c r="P67" s="205">
        <f t="shared" si="96"/>
        <v>0</v>
      </c>
      <c r="Q67" s="205">
        <f t="shared" si="96"/>
        <v>0</v>
      </c>
      <c r="R67" s="205">
        <f t="shared" si="96"/>
        <v>0</v>
      </c>
      <c r="S67" s="205">
        <f t="shared" si="96"/>
        <v>0</v>
      </c>
      <c r="T67" s="205">
        <f t="shared" si="96"/>
        <v>0</v>
      </c>
      <c r="U67" s="205">
        <f t="shared" si="96"/>
        <v>0</v>
      </c>
      <c r="V67" s="205">
        <f t="shared" si="96"/>
        <v>0</v>
      </c>
      <c r="W67" s="205">
        <f t="shared" si="96"/>
        <v>0</v>
      </c>
      <c r="X67" s="205">
        <f t="shared" si="96"/>
        <v>0</v>
      </c>
      <c r="Y67" s="205">
        <f t="shared" si="96"/>
        <v>0</v>
      </c>
      <c r="Z67" s="205">
        <f t="shared" si="96"/>
        <v>0</v>
      </c>
      <c r="AA67" s="205">
        <f t="shared" si="96"/>
        <v>0</v>
      </c>
      <c r="AB67" s="205">
        <f t="shared" si="96"/>
        <v>0</v>
      </c>
      <c r="AC67" s="205">
        <f t="shared" si="96"/>
        <v>0</v>
      </c>
      <c r="AD67" s="205">
        <f t="shared" si="96"/>
        <v>0</v>
      </c>
      <c r="AE67" s="205">
        <f t="shared" si="96"/>
        <v>0</v>
      </c>
      <c r="AF67" s="205">
        <f t="shared" si="96"/>
        <v>0</v>
      </c>
      <c r="AG67" s="205">
        <f t="shared" si="96"/>
        <v>0</v>
      </c>
      <c r="AH67" s="205">
        <f t="shared" si="96"/>
        <v>0</v>
      </c>
      <c r="AI67" s="205">
        <f t="shared" si="96"/>
        <v>0</v>
      </c>
      <c r="AJ67" s="205">
        <f t="shared" si="96"/>
        <v>0</v>
      </c>
      <c r="AK67" s="205">
        <f t="shared" si="96"/>
        <v>0</v>
      </c>
      <c r="AL67" s="205">
        <f t="shared" si="96"/>
        <v>0</v>
      </c>
      <c r="AM67" s="205">
        <f t="shared" si="96"/>
        <v>0</v>
      </c>
      <c r="AN67" s="205">
        <f t="shared" si="96"/>
        <v>0</v>
      </c>
      <c r="AO67" s="205">
        <f t="shared" si="96"/>
        <v>0</v>
      </c>
      <c r="AP67" s="205">
        <f t="shared" si="96"/>
        <v>0</v>
      </c>
      <c r="AQ67" s="205">
        <f t="shared" si="96"/>
        <v>0</v>
      </c>
      <c r="AR67" s="205">
        <f t="shared" si="96"/>
        <v>0</v>
      </c>
      <c r="AS67" s="205">
        <f t="shared" si="96"/>
        <v>0</v>
      </c>
      <c r="AT67" s="205">
        <f t="shared" si="96"/>
        <v>0</v>
      </c>
      <c r="AU67" s="205">
        <f t="shared" si="96"/>
        <v>0</v>
      </c>
      <c r="AV67" s="205">
        <f t="shared" si="96"/>
        <v>0</v>
      </c>
      <c r="AW67" s="205">
        <f t="shared" si="96"/>
        <v>0</v>
      </c>
      <c r="AX67" s="205">
        <f t="shared" si="96"/>
        <v>0</v>
      </c>
      <c r="AY67" s="205">
        <f t="shared" si="96"/>
        <v>0</v>
      </c>
      <c r="AZ67" s="205">
        <f t="shared" si="96"/>
        <v>0</v>
      </c>
      <c r="BA67" s="205">
        <f t="shared" si="96"/>
        <v>0</v>
      </c>
      <c r="BB67" s="205">
        <f t="shared" si="96"/>
        <v>0</v>
      </c>
      <c r="BC67" s="205">
        <f t="shared" si="96"/>
        <v>0</v>
      </c>
      <c r="BD67" s="205">
        <f t="shared" si="96"/>
        <v>0</v>
      </c>
      <c r="BE67" s="205">
        <f t="shared" si="96"/>
        <v>0</v>
      </c>
      <c r="BF67" s="205">
        <f t="shared" si="96"/>
        <v>0</v>
      </c>
      <c r="BG67" s="205">
        <f t="shared" si="96"/>
        <v>0</v>
      </c>
      <c r="BH67" s="205">
        <f t="shared" si="96"/>
        <v>0</v>
      </c>
      <c r="BI67" s="205">
        <f t="shared" si="96"/>
        <v>0</v>
      </c>
      <c r="BJ67" s="205">
        <f t="shared" si="96"/>
        <v>0</v>
      </c>
      <c r="BK67" s="205">
        <f t="shared" si="96"/>
        <v>0</v>
      </c>
      <c r="BL67" s="205">
        <f t="shared" si="96"/>
        <v>0</v>
      </c>
      <c r="BM67" s="205">
        <f t="shared" si="96"/>
        <v>0</v>
      </c>
      <c r="BN67" s="205">
        <f t="shared" si="96"/>
        <v>0</v>
      </c>
      <c r="BO67" s="205">
        <f t="shared" si="96"/>
        <v>0</v>
      </c>
      <c r="BP67" s="205">
        <f t="shared" si="96"/>
        <v>0</v>
      </c>
      <c r="BQ67" s="205">
        <f t="shared" si="96"/>
        <v>0</v>
      </c>
      <c r="BR67" s="205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5">
        <f t="shared" si="97"/>
        <v>0</v>
      </c>
      <c r="BT67" s="205">
        <f t="shared" si="97"/>
        <v>0</v>
      </c>
      <c r="BU67" s="205">
        <f t="shared" si="97"/>
        <v>0</v>
      </c>
      <c r="BV67" s="205">
        <f t="shared" si="97"/>
        <v>0</v>
      </c>
      <c r="BW67" s="205">
        <f t="shared" si="97"/>
        <v>0</v>
      </c>
      <c r="BX67" s="205">
        <f t="shared" si="97"/>
        <v>0</v>
      </c>
      <c r="BY67" s="205">
        <f t="shared" si="97"/>
        <v>0</v>
      </c>
      <c r="BZ67" s="205">
        <f t="shared" si="97"/>
        <v>0</v>
      </c>
      <c r="CA67" s="205">
        <f t="shared" si="97"/>
        <v>0</v>
      </c>
      <c r="CB67" s="205">
        <f t="shared" si="97"/>
        <v>0</v>
      </c>
      <c r="CC67" s="205">
        <f t="shared" si="97"/>
        <v>0</v>
      </c>
      <c r="CD67" s="205">
        <f t="shared" si="97"/>
        <v>0</v>
      </c>
      <c r="CE67" s="205">
        <f t="shared" si="97"/>
        <v>0</v>
      </c>
      <c r="CF67" s="205">
        <f t="shared" si="97"/>
        <v>0</v>
      </c>
      <c r="CG67" s="205">
        <f t="shared" si="97"/>
        <v>0</v>
      </c>
      <c r="CH67" s="205">
        <f t="shared" si="97"/>
        <v>0</v>
      </c>
      <c r="CI67" s="205">
        <f t="shared" si="97"/>
        <v>0</v>
      </c>
      <c r="CJ67" s="205">
        <f t="shared" si="97"/>
        <v>0</v>
      </c>
      <c r="CK67" s="205">
        <f t="shared" si="97"/>
        <v>0</v>
      </c>
      <c r="CL67" s="205">
        <f t="shared" si="97"/>
        <v>0</v>
      </c>
      <c r="CM67" s="205">
        <f t="shared" si="97"/>
        <v>0</v>
      </c>
      <c r="CN67" s="205">
        <f t="shared" si="97"/>
        <v>0</v>
      </c>
      <c r="CO67" s="205">
        <f t="shared" si="97"/>
        <v>0</v>
      </c>
      <c r="CP67" s="205">
        <f t="shared" si="97"/>
        <v>0</v>
      </c>
      <c r="CQ67" s="205">
        <f t="shared" si="97"/>
        <v>0</v>
      </c>
      <c r="CR67" s="205">
        <f t="shared" si="97"/>
        <v>0</v>
      </c>
      <c r="CS67" s="205">
        <f t="shared" si="97"/>
        <v>0</v>
      </c>
      <c r="CT67" s="205">
        <f t="shared" si="97"/>
        <v>0</v>
      </c>
      <c r="CU67" s="205">
        <f t="shared" si="97"/>
        <v>0</v>
      </c>
      <c r="CV67" s="205">
        <f t="shared" si="97"/>
        <v>0</v>
      </c>
      <c r="CW67" s="205">
        <f t="shared" si="97"/>
        <v>414.76499999999999</v>
      </c>
      <c r="CX67" s="205">
        <f t="shared" si="97"/>
        <v>1244.2950000000001</v>
      </c>
      <c r="CY67" s="205">
        <f t="shared" si="97"/>
        <v>2073.8249999999998</v>
      </c>
      <c r="CZ67" s="205">
        <f t="shared" si="97"/>
        <v>2903.355</v>
      </c>
      <c r="DA67" s="205">
        <f t="shared" si="97"/>
        <v>3732.8849999999998</v>
      </c>
    </row>
    <row r="68" spans="1:105" s="205" customFormat="1">
      <c r="A68" s="205" t="str">
        <f>Income!A82</f>
        <v>Small business/petty trading</v>
      </c>
      <c r="F68" s="205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24218.143135197181</v>
      </c>
      <c r="G68" s="205">
        <f t="shared" si="98"/>
        <v>24218.143135197181</v>
      </c>
      <c r="H68" s="205">
        <f t="shared" si="98"/>
        <v>24218.143135197181</v>
      </c>
      <c r="I68" s="205">
        <f t="shared" si="98"/>
        <v>24218.143135197181</v>
      </c>
      <c r="J68" s="205">
        <f t="shared" si="98"/>
        <v>24218.143135197181</v>
      </c>
      <c r="K68" s="205">
        <f t="shared" si="98"/>
        <v>24218.143135197181</v>
      </c>
      <c r="L68" s="205">
        <f t="shared" si="88"/>
        <v>24218.143135197181</v>
      </c>
      <c r="M68" s="205">
        <f t="shared" si="98"/>
        <v>24218.143135197181</v>
      </c>
      <c r="N68" s="205">
        <f t="shared" si="98"/>
        <v>24218.143135197181</v>
      </c>
      <c r="O68" s="205">
        <f t="shared" si="98"/>
        <v>24218.143135197181</v>
      </c>
      <c r="P68" s="205">
        <f t="shared" si="98"/>
        <v>24218.143135197181</v>
      </c>
      <c r="Q68" s="205">
        <f t="shared" si="98"/>
        <v>24218.143135197181</v>
      </c>
      <c r="R68" s="205">
        <f t="shared" si="98"/>
        <v>24218.143135197181</v>
      </c>
      <c r="S68" s="205">
        <f t="shared" si="98"/>
        <v>24218.143135197181</v>
      </c>
      <c r="T68" s="205">
        <f t="shared" si="98"/>
        <v>24218.143135197181</v>
      </c>
      <c r="U68" s="205">
        <f t="shared" si="98"/>
        <v>24579.91650682838</v>
      </c>
      <c r="V68" s="205">
        <f t="shared" si="98"/>
        <v>25303.463250090783</v>
      </c>
      <c r="W68" s="205">
        <f t="shared" si="98"/>
        <v>26027.009993353182</v>
      </c>
      <c r="X68" s="205">
        <f t="shared" si="98"/>
        <v>26750.556736615581</v>
      </c>
      <c r="Y68" s="205">
        <f t="shared" si="98"/>
        <v>27474.10347987798</v>
      </c>
      <c r="Z68" s="205">
        <f t="shared" si="98"/>
        <v>28197.650223140379</v>
      </c>
      <c r="AA68" s="205">
        <f t="shared" si="98"/>
        <v>28921.196966402778</v>
      </c>
      <c r="AB68" s="205">
        <f t="shared" si="98"/>
        <v>29644.743709665177</v>
      </c>
      <c r="AC68" s="205">
        <f t="shared" si="98"/>
        <v>30368.29045292758</v>
      </c>
      <c r="AD68" s="205">
        <f t="shared" si="98"/>
        <v>31091.837196189979</v>
      </c>
      <c r="AE68" s="205">
        <f t="shared" si="98"/>
        <v>31815.383939452378</v>
      </c>
      <c r="AF68" s="205">
        <f t="shared" si="98"/>
        <v>32538.930682714778</v>
      </c>
      <c r="AG68" s="205">
        <f t="shared" si="98"/>
        <v>33262.47742597718</v>
      </c>
      <c r="AH68" s="205">
        <f t="shared" si="98"/>
        <v>33986.024169239579</v>
      </c>
      <c r="AI68" s="205">
        <f t="shared" si="98"/>
        <v>34709.570912501978</v>
      </c>
      <c r="AJ68" s="205">
        <f t="shared" si="98"/>
        <v>35433.117655764378</v>
      </c>
      <c r="AK68" s="205">
        <f t="shared" si="98"/>
        <v>36156.664399026777</v>
      </c>
      <c r="AL68" s="205">
        <f t="shared" si="98"/>
        <v>36880.211142289176</v>
      </c>
      <c r="AM68" s="205">
        <f t="shared" si="98"/>
        <v>37603.757885551575</v>
      </c>
      <c r="AN68" s="205">
        <f t="shared" si="98"/>
        <v>38327.304628813974</v>
      </c>
      <c r="AO68" s="205">
        <f t="shared" si="98"/>
        <v>39050.851372076373</v>
      </c>
      <c r="AP68" s="205">
        <f t="shared" si="98"/>
        <v>39774.398115338772</v>
      </c>
      <c r="AQ68" s="205">
        <f t="shared" si="98"/>
        <v>40497.944858601171</v>
      </c>
      <c r="AR68" s="205">
        <f t="shared" si="98"/>
        <v>41221.49160186357</v>
      </c>
      <c r="AS68" s="205">
        <f t="shared" si="98"/>
        <v>41945.038345125969</v>
      </c>
      <c r="AT68" s="205">
        <f t="shared" si="98"/>
        <v>42668.585088388369</v>
      </c>
      <c r="AU68" s="205">
        <f t="shared" si="98"/>
        <v>43392.131831650768</v>
      </c>
      <c r="AV68" s="205">
        <f t="shared" si="98"/>
        <v>44115.678574913167</v>
      </c>
      <c r="AW68" s="205">
        <f t="shared" si="98"/>
        <v>44839.225318175566</v>
      </c>
      <c r="AX68" s="205">
        <f t="shared" si="98"/>
        <v>45562.772061437972</v>
      </c>
      <c r="AY68" s="205">
        <f t="shared" si="98"/>
        <v>46286.318804700371</v>
      </c>
      <c r="AZ68" s="205">
        <f t="shared" si="98"/>
        <v>47009.865547962771</v>
      </c>
      <c r="BA68" s="205">
        <f t="shared" si="98"/>
        <v>47733.41229122517</v>
      </c>
      <c r="BB68" s="205">
        <f t="shared" si="98"/>
        <v>48456.959034487569</v>
      </c>
      <c r="BC68" s="205">
        <f t="shared" si="98"/>
        <v>49180.505777749968</v>
      </c>
      <c r="BD68" s="205">
        <f t="shared" si="98"/>
        <v>49904.052521012374</v>
      </c>
      <c r="BE68" s="205">
        <f t="shared" si="98"/>
        <v>48729.839520517955</v>
      </c>
      <c r="BF68" s="205">
        <f t="shared" si="98"/>
        <v>47555.62652002355</v>
      </c>
      <c r="BG68" s="205">
        <f t="shared" si="98"/>
        <v>46381.413519529138</v>
      </c>
      <c r="BH68" s="205">
        <f t="shared" si="98"/>
        <v>45207.200519034734</v>
      </c>
      <c r="BI68" s="205">
        <f t="shared" si="98"/>
        <v>44032.987518540322</v>
      </c>
      <c r="BJ68" s="205">
        <f t="shared" si="98"/>
        <v>42858.774518045917</v>
      </c>
      <c r="BK68" s="205">
        <f t="shared" si="98"/>
        <v>41684.561517551505</v>
      </c>
      <c r="BL68" s="205">
        <f t="shared" si="98"/>
        <v>40510.3485170571</v>
      </c>
      <c r="BM68" s="205">
        <f t="shared" si="98"/>
        <v>39336.135516562688</v>
      </c>
      <c r="BN68" s="205">
        <f t="shared" si="98"/>
        <v>38161.922516068284</v>
      </c>
      <c r="BO68" s="205">
        <f t="shared" si="98"/>
        <v>36987.709515573872</v>
      </c>
      <c r="BP68" s="205">
        <f t="shared" si="98"/>
        <v>35813.49651507946</v>
      </c>
      <c r="BQ68" s="205">
        <f t="shared" si="98"/>
        <v>34639.283514585055</v>
      </c>
      <c r="BR68" s="205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33465.07051409065</v>
      </c>
      <c r="BS68" s="205">
        <f t="shared" si="99"/>
        <v>32290.857513596238</v>
      </c>
      <c r="BT68" s="205">
        <f t="shared" si="99"/>
        <v>31116.64451310183</v>
      </c>
      <c r="BU68" s="205">
        <f t="shared" si="99"/>
        <v>29942.431512607422</v>
      </c>
      <c r="BV68" s="205">
        <f t="shared" si="99"/>
        <v>28768.218512113013</v>
      </c>
      <c r="BW68" s="205">
        <f t="shared" si="99"/>
        <v>27594.005511618605</v>
      </c>
      <c r="BX68" s="205">
        <f t="shared" si="99"/>
        <v>26419.792511124197</v>
      </c>
      <c r="BY68" s="205">
        <f t="shared" si="99"/>
        <v>25245.579510629788</v>
      </c>
      <c r="BZ68" s="205">
        <f t="shared" si="99"/>
        <v>24071.36651013538</v>
      </c>
      <c r="CA68" s="205">
        <f t="shared" si="99"/>
        <v>22897.153509640972</v>
      </c>
      <c r="CB68" s="205">
        <f t="shared" si="99"/>
        <v>21722.94050914656</v>
      </c>
      <c r="CC68" s="205">
        <f t="shared" si="99"/>
        <v>20548.727508652151</v>
      </c>
      <c r="CD68" s="205">
        <f t="shared" si="99"/>
        <v>19374.514508157743</v>
      </c>
      <c r="CE68" s="205">
        <f t="shared" si="99"/>
        <v>18200.301507663335</v>
      </c>
      <c r="CF68" s="205">
        <f t="shared" si="99"/>
        <v>17026.088507168926</v>
      </c>
      <c r="CG68" s="205">
        <f t="shared" si="99"/>
        <v>15851.875506674522</v>
      </c>
      <c r="CH68" s="205">
        <f t="shared" si="99"/>
        <v>14677.66250618011</v>
      </c>
      <c r="CI68" s="205">
        <f t="shared" si="99"/>
        <v>15082.563540833351</v>
      </c>
      <c r="CJ68" s="205">
        <f t="shared" si="99"/>
        <v>15487.464575486594</v>
      </c>
      <c r="CK68" s="205">
        <f t="shared" si="99"/>
        <v>15892.365610139839</v>
      </c>
      <c r="CL68" s="205">
        <f t="shared" si="99"/>
        <v>16297.266644793082</v>
      </c>
      <c r="CM68" s="205">
        <f t="shared" si="99"/>
        <v>16702.167679446327</v>
      </c>
      <c r="CN68" s="205">
        <f t="shared" si="99"/>
        <v>17107.068714099572</v>
      </c>
      <c r="CO68" s="205">
        <f t="shared" si="99"/>
        <v>17511.969748752817</v>
      </c>
      <c r="CP68" s="205">
        <f t="shared" si="99"/>
        <v>17916.870783406059</v>
      </c>
      <c r="CQ68" s="205">
        <f t="shared" si="99"/>
        <v>18321.771818059304</v>
      </c>
      <c r="CR68" s="205">
        <f t="shared" si="99"/>
        <v>18726.672852712549</v>
      </c>
      <c r="CS68" s="205">
        <f t="shared" si="99"/>
        <v>19131.573887365794</v>
      </c>
      <c r="CT68" s="205">
        <f t="shared" si="99"/>
        <v>19536.474922019035</v>
      </c>
      <c r="CU68" s="205">
        <f t="shared" si="99"/>
        <v>19941.37595667228</v>
      </c>
      <c r="CV68" s="205">
        <f t="shared" si="99"/>
        <v>20346.276991325525</v>
      </c>
      <c r="CW68" s="205">
        <f t="shared" si="99"/>
        <v>23650.477508652148</v>
      </c>
      <c r="CX68" s="205">
        <f t="shared" si="99"/>
        <v>29853.977508652148</v>
      </c>
      <c r="CY68" s="205">
        <f t="shared" si="99"/>
        <v>36057.477508652148</v>
      </c>
      <c r="CZ68" s="205">
        <f t="shared" si="99"/>
        <v>42260.977508652148</v>
      </c>
      <c r="DA68" s="205">
        <f t="shared" si="99"/>
        <v>48464.477508652148</v>
      </c>
    </row>
    <row r="69" spans="1:105" s="205" customFormat="1">
      <c r="A69" s="205" t="str">
        <f>Income!A83</f>
        <v>Food transfer - official</v>
      </c>
      <c r="F69" s="205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5743.6065157120338</v>
      </c>
      <c r="G69" s="205">
        <f t="shared" si="100"/>
        <v>5743.6065157120338</v>
      </c>
      <c r="H69" s="205">
        <f t="shared" si="100"/>
        <v>5743.6065157120338</v>
      </c>
      <c r="I69" s="205">
        <f t="shared" si="100"/>
        <v>5743.6065157120338</v>
      </c>
      <c r="J69" s="205">
        <f t="shared" si="100"/>
        <v>5743.6065157120338</v>
      </c>
      <c r="K69" s="205">
        <f t="shared" si="100"/>
        <v>5743.6065157120338</v>
      </c>
      <c r="L69" s="205">
        <f t="shared" si="88"/>
        <v>5743.6065157120338</v>
      </c>
      <c r="M69" s="205">
        <f t="shared" si="100"/>
        <v>5743.6065157120338</v>
      </c>
      <c r="N69" s="205">
        <f t="shared" si="100"/>
        <v>5743.6065157120338</v>
      </c>
      <c r="O69" s="205">
        <f t="shared" si="100"/>
        <v>5743.6065157120338</v>
      </c>
      <c r="P69" s="205">
        <f t="shared" si="100"/>
        <v>5743.6065157120338</v>
      </c>
      <c r="Q69" s="205">
        <f t="shared" si="100"/>
        <v>5743.6065157120338</v>
      </c>
      <c r="R69" s="205">
        <f t="shared" si="100"/>
        <v>5743.6065157120338</v>
      </c>
      <c r="S69" s="205">
        <f t="shared" si="100"/>
        <v>5743.6065157120338</v>
      </c>
      <c r="T69" s="205">
        <f t="shared" si="100"/>
        <v>5743.6065157120338</v>
      </c>
      <c r="U69" s="205">
        <f t="shared" si="100"/>
        <v>5747.5395559880462</v>
      </c>
      <c r="V69" s="205">
        <f t="shared" si="100"/>
        <v>5755.4056365400711</v>
      </c>
      <c r="W69" s="205">
        <f t="shared" si="100"/>
        <v>5763.271717092096</v>
      </c>
      <c r="X69" s="205">
        <f t="shared" si="100"/>
        <v>5771.1377976441208</v>
      </c>
      <c r="Y69" s="205">
        <f t="shared" si="100"/>
        <v>5779.0038781961457</v>
      </c>
      <c r="Z69" s="205">
        <f t="shared" si="100"/>
        <v>5786.8699587481706</v>
      </c>
      <c r="AA69" s="205">
        <f t="shared" si="100"/>
        <v>5794.7360393001954</v>
      </c>
      <c r="AB69" s="205">
        <f t="shared" si="100"/>
        <v>5802.6021198522203</v>
      </c>
      <c r="AC69" s="205">
        <f t="shared" si="100"/>
        <v>5810.4682004042452</v>
      </c>
      <c r="AD69" s="205">
        <f t="shared" si="100"/>
        <v>5818.33428095627</v>
      </c>
      <c r="AE69" s="205">
        <f t="shared" si="100"/>
        <v>5826.2003615082949</v>
      </c>
      <c r="AF69" s="205">
        <f t="shared" si="100"/>
        <v>5834.0664420603198</v>
      </c>
      <c r="AG69" s="205">
        <f t="shared" si="100"/>
        <v>5841.9325226123447</v>
      </c>
      <c r="AH69" s="205">
        <f t="shared" si="100"/>
        <v>5849.7986031643695</v>
      </c>
      <c r="AI69" s="205">
        <f t="shared" si="100"/>
        <v>5857.6646837163944</v>
      </c>
      <c r="AJ69" s="205">
        <f t="shared" si="100"/>
        <v>5865.5307642684193</v>
      </c>
      <c r="AK69" s="205">
        <f t="shared" si="100"/>
        <v>5873.3968448204441</v>
      </c>
      <c r="AL69" s="205">
        <f t="shared" si="100"/>
        <v>5881.2629253724699</v>
      </c>
      <c r="AM69" s="205">
        <f t="shared" si="100"/>
        <v>5889.1290059244948</v>
      </c>
      <c r="AN69" s="205">
        <f t="shared" si="100"/>
        <v>5896.9950864765196</v>
      </c>
      <c r="AO69" s="205">
        <f t="shared" si="100"/>
        <v>5904.8611670285445</v>
      </c>
      <c r="AP69" s="205">
        <f t="shared" si="100"/>
        <v>5912.7272475805694</v>
      </c>
      <c r="AQ69" s="205">
        <f t="shared" si="100"/>
        <v>5920.5933281325943</v>
      </c>
      <c r="AR69" s="205">
        <f t="shared" si="100"/>
        <v>5928.4594086846191</v>
      </c>
      <c r="AS69" s="205">
        <f t="shared" si="100"/>
        <v>5936.325489236644</v>
      </c>
      <c r="AT69" s="205">
        <f t="shared" si="100"/>
        <v>5944.1915697886689</v>
      </c>
      <c r="AU69" s="205">
        <f t="shared" si="100"/>
        <v>5952.0576503406937</v>
      </c>
      <c r="AV69" s="205">
        <f t="shared" si="100"/>
        <v>5959.9237308927186</v>
      </c>
      <c r="AW69" s="205">
        <f t="shared" si="100"/>
        <v>5967.7898114447435</v>
      </c>
      <c r="AX69" s="205">
        <f t="shared" si="100"/>
        <v>5975.6558919967683</v>
      </c>
      <c r="AY69" s="205">
        <f t="shared" si="100"/>
        <v>5983.5219725487932</v>
      </c>
      <c r="AZ69" s="205">
        <f t="shared" si="100"/>
        <v>5991.3880531008181</v>
      </c>
      <c r="BA69" s="205">
        <f t="shared" si="100"/>
        <v>5999.2541336528429</v>
      </c>
      <c r="BB69" s="205">
        <f t="shared" si="100"/>
        <v>6007.1202142048678</v>
      </c>
      <c r="BC69" s="205">
        <f t="shared" si="100"/>
        <v>6014.9862947568927</v>
      </c>
      <c r="BD69" s="205">
        <f t="shared" si="100"/>
        <v>6022.8523753089175</v>
      </c>
      <c r="BE69" s="205">
        <f t="shared" si="100"/>
        <v>5983.1584150365388</v>
      </c>
      <c r="BF69" s="205">
        <f t="shared" si="100"/>
        <v>5943.4644547641601</v>
      </c>
      <c r="BG69" s="205">
        <f t="shared" si="100"/>
        <v>5903.7704944917805</v>
      </c>
      <c r="BH69" s="205">
        <f t="shared" si="100"/>
        <v>5864.0765342194018</v>
      </c>
      <c r="BI69" s="205">
        <f t="shared" si="100"/>
        <v>5824.382573947023</v>
      </c>
      <c r="BJ69" s="205">
        <f t="shared" si="100"/>
        <v>5784.6886136746443</v>
      </c>
      <c r="BK69" s="205">
        <f t="shared" si="100"/>
        <v>5744.9946534022656</v>
      </c>
      <c r="BL69" s="205">
        <f t="shared" si="100"/>
        <v>5705.300693129886</v>
      </c>
      <c r="BM69" s="205">
        <f t="shared" si="100"/>
        <v>5665.6067328575073</v>
      </c>
      <c r="BN69" s="205">
        <f t="shared" si="100"/>
        <v>5625.9127725851286</v>
      </c>
      <c r="BO69" s="205">
        <f t="shared" si="100"/>
        <v>5586.2188123127498</v>
      </c>
      <c r="BP69" s="205">
        <f t="shared" si="100"/>
        <v>5546.5248520403711</v>
      </c>
      <c r="BQ69" s="205">
        <f t="shared" si="100"/>
        <v>5506.8308917679915</v>
      </c>
      <c r="BR69" s="205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5467.1369314956128</v>
      </c>
      <c r="BS69" s="205">
        <f t="shared" si="101"/>
        <v>5427.4429712232341</v>
      </c>
      <c r="BT69" s="205">
        <f t="shared" si="101"/>
        <v>5387.7490109508553</v>
      </c>
      <c r="BU69" s="205">
        <f t="shared" si="101"/>
        <v>5348.0550506784766</v>
      </c>
      <c r="BV69" s="205">
        <f t="shared" si="101"/>
        <v>5308.361090406097</v>
      </c>
      <c r="BW69" s="205">
        <f t="shared" si="101"/>
        <v>5268.6671301337183</v>
      </c>
      <c r="BX69" s="205">
        <f t="shared" si="101"/>
        <v>5228.9731698613396</v>
      </c>
      <c r="BY69" s="205">
        <f t="shared" si="101"/>
        <v>5189.2792095889608</v>
      </c>
      <c r="BZ69" s="205">
        <f t="shared" si="101"/>
        <v>5149.5852493165821</v>
      </c>
      <c r="CA69" s="205">
        <f t="shared" si="101"/>
        <v>5109.8912890442025</v>
      </c>
      <c r="CB69" s="205">
        <f t="shared" si="101"/>
        <v>5070.1973287718238</v>
      </c>
      <c r="CC69" s="205">
        <f t="shared" si="101"/>
        <v>5030.5033684994451</v>
      </c>
      <c r="CD69" s="205">
        <f t="shared" si="101"/>
        <v>4990.8094082270663</v>
      </c>
      <c r="CE69" s="205">
        <f t="shared" si="101"/>
        <v>4951.1154479546876</v>
      </c>
      <c r="CF69" s="205">
        <f t="shared" si="101"/>
        <v>4911.421487682308</v>
      </c>
      <c r="CG69" s="205">
        <f t="shared" si="101"/>
        <v>4871.7275274099293</v>
      </c>
      <c r="CH69" s="205">
        <f t="shared" si="101"/>
        <v>4832.0335671375506</v>
      </c>
      <c r="CI69" s="205">
        <f t="shared" si="101"/>
        <v>4602.5742053270469</v>
      </c>
      <c r="CJ69" s="205">
        <f t="shared" si="101"/>
        <v>4373.1148435165442</v>
      </c>
      <c r="CK69" s="205">
        <f t="shared" si="101"/>
        <v>4143.6554817060405</v>
      </c>
      <c r="CL69" s="205">
        <f t="shared" si="101"/>
        <v>3914.1961198955369</v>
      </c>
      <c r="CM69" s="205">
        <f t="shared" si="101"/>
        <v>3684.7367580850337</v>
      </c>
      <c r="CN69" s="205">
        <f t="shared" si="101"/>
        <v>3455.2773962745305</v>
      </c>
      <c r="CO69" s="205">
        <f t="shared" si="101"/>
        <v>3225.8180344640268</v>
      </c>
      <c r="CP69" s="205">
        <f t="shared" si="101"/>
        <v>2996.3586726535236</v>
      </c>
      <c r="CQ69" s="205">
        <f t="shared" si="101"/>
        <v>2766.8993108430204</v>
      </c>
      <c r="CR69" s="205">
        <f t="shared" si="101"/>
        <v>2537.4399490325168</v>
      </c>
      <c r="CS69" s="205">
        <f t="shared" si="101"/>
        <v>2307.9805872220136</v>
      </c>
      <c r="CT69" s="205">
        <f t="shared" si="101"/>
        <v>2078.5212254115104</v>
      </c>
      <c r="CU69" s="205">
        <f t="shared" si="101"/>
        <v>1849.0618636010067</v>
      </c>
      <c r="CV69" s="205">
        <f t="shared" si="101"/>
        <v>1619.6025017905035</v>
      </c>
      <c r="CW69" s="205">
        <f t="shared" si="101"/>
        <v>1512.2378208852517</v>
      </c>
      <c r="CX69" s="205">
        <f t="shared" si="101"/>
        <v>1526.9678208852517</v>
      </c>
      <c r="CY69" s="205">
        <f t="shared" si="101"/>
        <v>1541.6978208852518</v>
      </c>
      <c r="CZ69" s="205">
        <f t="shared" si="101"/>
        <v>1556.4278208852518</v>
      </c>
      <c r="DA69" s="205">
        <f t="shared" si="101"/>
        <v>1571.1578208852518</v>
      </c>
    </row>
    <row r="70" spans="1:105" s="205" customFormat="1">
      <c r="A70" s="205" t="str">
        <f>Income!A85</f>
        <v>Cash transfer - official</v>
      </c>
      <c r="F70" s="205">
        <f t="shared" si="100"/>
        <v>11008.246879635082</v>
      </c>
      <c r="G70" s="205">
        <f t="shared" si="100"/>
        <v>11008.246879635082</v>
      </c>
      <c r="H70" s="205">
        <f t="shared" si="100"/>
        <v>11008.246879635082</v>
      </c>
      <c r="I70" s="205">
        <f t="shared" si="100"/>
        <v>11008.246879635082</v>
      </c>
      <c r="J70" s="205">
        <f t="shared" si="100"/>
        <v>11008.246879635082</v>
      </c>
      <c r="K70" s="205">
        <f t="shared" si="100"/>
        <v>11008.246879635082</v>
      </c>
      <c r="L70" s="205">
        <f t="shared" si="100"/>
        <v>11008.246879635082</v>
      </c>
      <c r="M70" s="205">
        <f t="shared" si="100"/>
        <v>11008.246879635082</v>
      </c>
      <c r="N70" s="205">
        <f t="shared" si="100"/>
        <v>11008.246879635082</v>
      </c>
      <c r="O70" s="205">
        <f t="shared" si="100"/>
        <v>11008.246879635082</v>
      </c>
      <c r="P70" s="205">
        <f t="shared" si="100"/>
        <v>11008.246879635082</v>
      </c>
      <c r="Q70" s="205">
        <f t="shared" si="100"/>
        <v>11008.246879635082</v>
      </c>
      <c r="R70" s="205">
        <f t="shared" si="100"/>
        <v>11008.246879635082</v>
      </c>
      <c r="S70" s="205">
        <f t="shared" si="100"/>
        <v>11008.246879635082</v>
      </c>
      <c r="T70" s="205">
        <f t="shared" si="100"/>
        <v>11008.246879635082</v>
      </c>
      <c r="U70" s="205">
        <f t="shared" si="100"/>
        <v>10853.201148935996</v>
      </c>
      <c r="V70" s="205">
        <f t="shared" si="100"/>
        <v>10543.109687537824</v>
      </c>
      <c r="W70" s="205">
        <f t="shared" si="100"/>
        <v>10233.018226139653</v>
      </c>
      <c r="X70" s="205">
        <f t="shared" si="100"/>
        <v>9922.9267647414817</v>
      </c>
      <c r="Y70" s="205">
        <f t="shared" si="100"/>
        <v>9612.8353033433104</v>
      </c>
      <c r="Z70" s="205">
        <f t="shared" si="100"/>
        <v>9302.7438419451391</v>
      </c>
      <c r="AA70" s="205">
        <f t="shared" si="100"/>
        <v>8992.6523805469678</v>
      </c>
      <c r="AB70" s="205">
        <f t="shared" si="100"/>
        <v>8682.5609191487965</v>
      </c>
      <c r="AC70" s="205">
        <f t="shared" si="100"/>
        <v>8372.4694577506252</v>
      </c>
      <c r="AD70" s="205">
        <f t="shared" si="100"/>
        <v>8062.3779963524539</v>
      </c>
      <c r="AE70" s="205">
        <f t="shared" si="100"/>
        <v>7752.2865349542826</v>
      </c>
      <c r="AF70" s="205">
        <f t="shared" si="100"/>
        <v>7442.1950735561113</v>
      </c>
      <c r="AG70" s="205">
        <f t="shared" si="100"/>
        <v>7132.10361215794</v>
      </c>
      <c r="AH70" s="205">
        <f t="shared" si="100"/>
        <v>6822.0121507597687</v>
      </c>
      <c r="AI70" s="205">
        <f t="shared" si="100"/>
        <v>6511.9206893615974</v>
      </c>
      <c r="AJ70" s="205">
        <f t="shared" si="100"/>
        <v>6201.8292279634261</v>
      </c>
      <c r="AK70" s="205">
        <f t="shared" si="100"/>
        <v>5891.7377665652557</v>
      </c>
      <c r="AL70" s="205">
        <f t="shared" si="100"/>
        <v>5581.6463051670844</v>
      </c>
      <c r="AM70" s="205">
        <f t="shared" si="100"/>
        <v>5271.5548437689131</v>
      </c>
      <c r="AN70" s="205">
        <f t="shared" si="100"/>
        <v>4961.4633823707418</v>
      </c>
      <c r="AO70" s="205">
        <f t="shared" si="100"/>
        <v>4651.3719209725705</v>
      </c>
      <c r="AP70" s="205">
        <f t="shared" si="100"/>
        <v>4341.2804595743992</v>
      </c>
      <c r="AQ70" s="205">
        <f t="shared" si="100"/>
        <v>4031.1889981762279</v>
      </c>
      <c r="AR70" s="205">
        <f t="shared" si="100"/>
        <v>3721.0975367780566</v>
      </c>
      <c r="AS70" s="205">
        <f t="shared" si="100"/>
        <v>3411.0060753798853</v>
      </c>
      <c r="AT70" s="205">
        <f t="shared" si="100"/>
        <v>3100.914613981714</v>
      </c>
      <c r="AU70" s="205">
        <f t="shared" si="100"/>
        <v>2790.8231525835417</v>
      </c>
      <c r="AV70" s="205">
        <f t="shared" si="100"/>
        <v>2480.7316911853723</v>
      </c>
      <c r="AW70" s="205">
        <f t="shared" si="100"/>
        <v>2170.6402297871991</v>
      </c>
      <c r="AX70" s="205">
        <f t="shared" si="100"/>
        <v>1860.5487683890296</v>
      </c>
      <c r="AY70" s="205">
        <f t="shared" si="100"/>
        <v>1550.4573069908565</v>
      </c>
      <c r="AZ70" s="205">
        <f t="shared" si="100"/>
        <v>1240.365845592687</v>
      </c>
      <c r="BA70" s="205">
        <f t="shared" si="100"/>
        <v>930.27438419451391</v>
      </c>
      <c r="BB70" s="205">
        <f t="shared" si="100"/>
        <v>620.18292279634443</v>
      </c>
      <c r="BC70" s="205">
        <f t="shared" si="100"/>
        <v>310.0914613981713</v>
      </c>
      <c r="BD70" s="205">
        <f t="shared" si="100"/>
        <v>1.8189894035458565E-12</v>
      </c>
      <c r="BE70" s="205">
        <f t="shared" si="100"/>
        <v>0</v>
      </c>
      <c r="BF70" s="205">
        <f t="shared" si="100"/>
        <v>0</v>
      </c>
      <c r="BG70" s="205">
        <f t="shared" si="100"/>
        <v>0</v>
      </c>
      <c r="BH70" s="205">
        <f t="shared" si="100"/>
        <v>0</v>
      </c>
      <c r="BI70" s="205">
        <f t="shared" si="100"/>
        <v>0</v>
      </c>
      <c r="BJ70" s="205">
        <f t="shared" si="100"/>
        <v>0</v>
      </c>
      <c r="BK70" s="205">
        <f t="shared" si="100"/>
        <v>0</v>
      </c>
      <c r="BL70" s="205">
        <f t="shared" si="100"/>
        <v>0</v>
      </c>
      <c r="BM70" s="205">
        <f t="shared" si="100"/>
        <v>0</v>
      </c>
      <c r="BN70" s="205">
        <f t="shared" si="100"/>
        <v>0</v>
      </c>
      <c r="BO70" s="205">
        <f t="shared" si="100"/>
        <v>0</v>
      </c>
      <c r="BP70" s="205">
        <f t="shared" si="100"/>
        <v>0</v>
      </c>
      <c r="BQ70" s="205">
        <f t="shared" si="100"/>
        <v>0</v>
      </c>
      <c r="BR70" s="205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0</v>
      </c>
      <c r="BS70" s="205">
        <f t="shared" si="102"/>
        <v>0</v>
      </c>
      <c r="BT70" s="205">
        <f t="shared" si="102"/>
        <v>0</v>
      </c>
      <c r="BU70" s="205">
        <f t="shared" si="102"/>
        <v>0</v>
      </c>
      <c r="BV70" s="205">
        <f t="shared" si="102"/>
        <v>0</v>
      </c>
      <c r="BW70" s="205">
        <f t="shared" si="102"/>
        <v>0</v>
      </c>
      <c r="BX70" s="205">
        <f t="shared" si="102"/>
        <v>0</v>
      </c>
      <c r="BY70" s="205">
        <f t="shared" si="102"/>
        <v>0</v>
      </c>
      <c r="BZ70" s="205">
        <f t="shared" si="102"/>
        <v>0</v>
      </c>
      <c r="CA70" s="205">
        <f t="shared" si="102"/>
        <v>0</v>
      </c>
      <c r="CB70" s="205">
        <f t="shared" si="102"/>
        <v>0</v>
      </c>
      <c r="CC70" s="205">
        <f t="shared" si="102"/>
        <v>0</v>
      </c>
      <c r="CD70" s="205">
        <f t="shared" si="102"/>
        <v>0</v>
      </c>
      <c r="CE70" s="205">
        <f t="shared" si="102"/>
        <v>0</v>
      </c>
      <c r="CF70" s="205">
        <f t="shared" si="102"/>
        <v>0</v>
      </c>
      <c r="CG70" s="205">
        <f t="shared" si="102"/>
        <v>0</v>
      </c>
      <c r="CH70" s="205">
        <f t="shared" si="102"/>
        <v>0</v>
      </c>
      <c r="CI70" s="205">
        <f t="shared" si="102"/>
        <v>0</v>
      </c>
      <c r="CJ70" s="205">
        <f t="shared" si="102"/>
        <v>0</v>
      </c>
      <c r="CK70" s="205">
        <f t="shared" si="102"/>
        <v>0</v>
      </c>
      <c r="CL70" s="205">
        <f t="shared" si="102"/>
        <v>0</v>
      </c>
      <c r="CM70" s="205">
        <f t="shared" si="102"/>
        <v>0</v>
      </c>
      <c r="CN70" s="205">
        <f t="shared" si="102"/>
        <v>0</v>
      </c>
      <c r="CO70" s="205">
        <f t="shared" si="102"/>
        <v>0</v>
      </c>
      <c r="CP70" s="205">
        <f t="shared" si="102"/>
        <v>0</v>
      </c>
      <c r="CQ70" s="205">
        <f t="shared" si="102"/>
        <v>0</v>
      </c>
      <c r="CR70" s="205">
        <f t="shared" si="102"/>
        <v>0</v>
      </c>
      <c r="CS70" s="205">
        <f t="shared" si="102"/>
        <v>0</v>
      </c>
      <c r="CT70" s="205">
        <f t="shared" si="102"/>
        <v>0</v>
      </c>
      <c r="CU70" s="205">
        <f t="shared" si="102"/>
        <v>0</v>
      </c>
      <c r="CV70" s="205">
        <f t="shared" si="102"/>
        <v>0</v>
      </c>
      <c r="CW70" s="205">
        <f t="shared" si="102"/>
        <v>0</v>
      </c>
      <c r="CX70" s="205">
        <f t="shared" si="102"/>
        <v>0</v>
      </c>
      <c r="CY70" s="205">
        <f t="shared" si="102"/>
        <v>0</v>
      </c>
      <c r="CZ70" s="205">
        <f t="shared" si="102"/>
        <v>0</v>
      </c>
      <c r="DA70" s="205">
        <f t="shared" si="102"/>
        <v>0</v>
      </c>
    </row>
    <row r="71" spans="1:105" s="205" customFormat="1">
      <c r="A71" s="205" t="str">
        <f>Income!A86</f>
        <v>Cash transfer - gifts</v>
      </c>
      <c r="F71" s="205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5">
        <f t="shared" si="103"/>
        <v>0</v>
      </c>
      <c r="H71" s="205">
        <f t="shared" si="103"/>
        <v>0</v>
      </c>
      <c r="I71" s="205">
        <f t="shared" si="103"/>
        <v>0</v>
      </c>
      <c r="J71" s="205">
        <f t="shared" si="103"/>
        <v>0</v>
      </c>
      <c r="K71" s="205">
        <f t="shared" si="103"/>
        <v>0</v>
      </c>
      <c r="L71" s="205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5">
        <f t="shared" si="103"/>
        <v>0</v>
      </c>
      <c r="N71" s="205">
        <f t="shared" si="103"/>
        <v>0</v>
      </c>
      <c r="O71" s="205">
        <f t="shared" si="103"/>
        <v>0</v>
      </c>
      <c r="P71" s="205">
        <f t="shared" si="103"/>
        <v>0</v>
      </c>
      <c r="Q71" s="205">
        <f t="shared" si="103"/>
        <v>0</v>
      </c>
      <c r="R71" s="205">
        <f t="shared" si="103"/>
        <v>0</v>
      </c>
      <c r="S71" s="205">
        <f t="shared" si="103"/>
        <v>0</v>
      </c>
      <c r="T71" s="205">
        <f t="shared" si="103"/>
        <v>0</v>
      </c>
      <c r="U71" s="205">
        <f t="shared" si="103"/>
        <v>49.550031435916303</v>
      </c>
      <c r="V71" s="205">
        <f t="shared" si="103"/>
        <v>148.65009430774856</v>
      </c>
      <c r="W71" s="205">
        <f t="shared" si="103"/>
        <v>247.75015717958081</v>
      </c>
      <c r="X71" s="205">
        <f t="shared" si="103"/>
        <v>346.85022005141303</v>
      </c>
      <c r="Y71" s="205">
        <f t="shared" si="103"/>
        <v>445.95028292324531</v>
      </c>
      <c r="Z71" s="205">
        <f t="shared" si="103"/>
        <v>545.05034579507753</v>
      </c>
      <c r="AA71" s="205">
        <f t="shared" si="103"/>
        <v>644.15040866690981</v>
      </c>
      <c r="AB71" s="205">
        <f t="shared" si="103"/>
        <v>743.25047153874209</v>
      </c>
      <c r="AC71" s="205">
        <f t="shared" si="103"/>
        <v>842.35053441057426</v>
      </c>
      <c r="AD71" s="205">
        <f t="shared" si="103"/>
        <v>941.45059728240653</v>
      </c>
      <c r="AE71" s="205">
        <f t="shared" si="103"/>
        <v>1040.5506601542388</v>
      </c>
      <c r="AF71" s="205">
        <f t="shared" si="103"/>
        <v>1139.6507230260711</v>
      </c>
      <c r="AG71" s="205">
        <f t="shared" si="103"/>
        <v>1238.7507858979034</v>
      </c>
      <c r="AH71" s="205">
        <f t="shared" si="103"/>
        <v>1337.8508487697356</v>
      </c>
      <c r="AI71" s="205">
        <f t="shared" si="103"/>
        <v>1436.9509116415677</v>
      </c>
      <c r="AJ71" s="205">
        <f t="shared" si="103"/>
        <v>1536.0509745134</v>
      </c>
      <c r="AK71" s="205">
        <f t="shared" si="103"/>
        <v>1635.151037385232</v>
      </c>
      <c r="AL71" s="205">
        <f t="shared" si="103"/>
        <v>1734.2511002570643</v>
      </c>
      <c r="AM71" s="205">
        <f t="shared" si="103"/>
        <v>1833.3511631288966</v>
      </c>
      <c r="AN71" s="205">
        <f t="shared" si="103"/>
        <v>1932.4512260007289</v>
      </c>
      <c r="AO71" s="205">
        <f t="shared" si="103"/>
        <v>2031.5512888725611</v>
      </c>
      <c r="AP71" s="205">
        <f t="shared" si="103"/>
        <v>2130.6513517443932</v>
      </c>
      <c r="AQ71" s="205">
        <f t="shared" si="103"/>
        <v>2229.7514146162257</v>
      </c>
      <c r="AR71" s="205">
        <f t="shared" si="103"/>
        <v>2328.8514774880578</v>
      </c>
      <c r="AS71" s="205">
        <f t="shared" si="103"/>
        <v>2427.9515403598903</v>
      </c>
      <c r="AT71" s="205">
        <f t="shared" si="103"/>
        <v>2527.0516032317223</v>
      </c>
      <c r="AU71" s="205">
        <f t="shared" si="103"/>
        <v>2626.1516661035548</v>
      </c>
      <c r="AV71" s="205">
        <f t="shared" si="103"/>
        <v>2725.2517289753869</v>
      </c>
      <c r="AW71" s="205">
        <f t="shared" si="103"/>
        <v>2824.3517918472189</v>
      </c>
      <c r="AX71" s="205">
        <f t="shared" si="103"/>
        <v>2923.4518547190514</v>
      </c>
      <c r="AY71" s="205">
        <f t="shared" si="103"/>
        <v>3022.5519175908835</v>
      </c>
      <c r="AZ71" s="205">
        <f t="shared" si="103"/>
        <v>3121.651980462716</v>
      </c>
      <c r="BA71" s="205">
        <f t="shared" si="103"/>
        <v>3220.752043334548</v>
      </c>
      <c r="BB71" s="205">
        <f t="shared" si="103"/>
        <v>3319.8521062063805</v>
      </c>
      <c r="BC71" s="205">
        <f t="shared" si="103"/>
        <v>3418.9521690782126</v>
      </c>
      <c r="BD71" s="205">
        <f t="shared" si="103"/>
        <v>3518.0522319500451</v>
      </c>
      <c r="BE71" s="205">
        <f t="shared" si="103"/>
        <v>3546.3955554304807</v>
      </c>
      <c r="BF71" s="205">
        <f t="shared" si="103"/>
        <v>3574.7388789109168</v>
      </c>
      <c r="BG71" s="205">
        <f t="shared" si="103"/>
        <v>3603.0822023913529</v>
      </c>
      <c r="BH71" s="205">
        <f t="shared" si="103"/>
        <v>3631.425525871789</v>
      </c>
      <c r="BI71" s="205">
        <f t="shared" si="103"/>
        <v>3659.7688493522251</v>
      </c>
      <c r="BJ71" s="205">
        <f t="shared" si="103"/>
        <v>3688.1121728326611</v>
      </c>
      <c r="BK71" s="205">
        <f t="shared" si="103"/>
        <v>3716.4554963130972</v>
      </c>
      <c r="BL71" s="205">
        <f t="shared" si="103"/>
        <v>3744.7988197935333</v>
      </c>
      <c r="BM71" s="205">
        <f t="shared" si="103"/>
        <v>3773.1421432739694</v>
      </c>
      <c r="BN71" s="205">
        <f t="shared" si="103"/>
        <v>3801.4854667544055</v>
      </c>
      <c r="BO71" s="205">
        <f t="shared" si="103"/>
        <v>3829.8287902348416</v>
      </c>
      <c r="BP71" s="205">
        <f t="shared" si="103"/>
        <v>3858.1721137152776</v>
      </c>
      <c r="BQ71" s="205">
        <f t="shared" si="103"/>
        <v>3886.5154371957137</v>
      </c>
      <c r="BR71" s="205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3914.8587606761494</v>
      </c>
      <c r="BS71" s="205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3943.2020841565854</v>
      </c>
      <c r="BT71" s="205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3971.5454076370215</v>
      </c>
      <c r="BU71" s="205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3999.8887311174576</v>
      </c>
      <c r="BV71" s="205">
        <f t="shared" si="104"/>
        <v>4028.2320545978937</v>
      </c>
      <c r="BW71" s="205">
        <f t="shared" si="104"/>
        <v>4056.5753780783298</v>
      </c>
      <c r="BX71" s="205">
        <f t="shared" si="104"/>
        <v>4084.9187015587659</v>
      </c>
      <c r="BY71" s="205">
        <f t="shared" si="104"/>
        <v>4113.2620250392019</v>
      </c>
      <c r="BZ71" s="205">
        <f t="shared" si="104"/>
        <v>4141.605348519638</v>
      </c>
      <c r="CA71" s="205">
        <f t="shared" si="104"/>
        <v>4169.9486720000741</v>
      </c>
      <c r="CB71" s="205">
        <f t="shared" si="104"/>
        <v>4198.2919954805102</v>
      </c>
      <c r="CC71" s="205">
        <f t="shared" si="104"/>
        <v>4226.6353189609463</v>
      </c>
      <c r="CD71" s="205">
        <f t="shared" si="104"/>
        <v>4254.9786424413824</v>
      </c>
      <c r="CE71" s="205">
        <f t="shared" si="104"/>
        <v>4283.3219659218184</v>
      </c>
      <c r="CF71" s="205">
        <f t="shared" si="104"/>
        <v>4311.6652894022545</v>
      </c>
      <c r="CG71" s="205">
        <f t="shared" si="104"/>
        <v>4340.0086128826906</v>
      </c>
      <c r="CH71" s="205">
        <f t="shared" si="104"/>
        <v>4368.3519363631267</v>
      </c>
      <c r="CI71" s="205">
        <f t="shared" si="104"/>
        <v>4067.086285579463</v>
      </c>
      <c r="CJ71" s="205">
        <f t="shared" si="104"/>
        <v>3765.8206347957989</v>
      </c>
      <c r="CK71" s="205">
        <f t="shared" si="104"/>
        <v>3464.5549840121348</v>
      </c>
      <c r="CL71" s="205">
        <f t="shared" si="104"/>
        <v>3163.2893332284712</v>
      </c>
      <c r="CM71" s="205">
        <f t="shared" si="104"/>
        <v>2862.0236824448075</v>
      </c>
      <c r="CN71" s="205">
        <f t="shared" si="104"/>
        <v>2560.7580316611434</v>
      </c>
      <c r="CO71" s="205">
        <f t="shared" si="104"/>
        <v>2259.4923808774793</v>
      </c>
      <c r="CP71" s="205">
        <f t="shared" si="104"/>
        <v>1958.2267300938156</v>
      </c>
      <c r="CQ71" s="205">
        <f t="shared" si="104"/>
        <v>1656.9610793101519</v>
      </c>
      <c r="CR71" s="205">
        <f t="shared" si="104"/>
        <v>1355.6954285264878</v>
      </c>
      <c r="CS71" s="205">
        <f t="shared" si="104"/>
        <v>1054.4297777428237</v>
      </c>
      <c r="CT71" s="205">
        <f t="shared" si="104"/>
        <v>753.16412695916006</v>
      </c>
      <c r="CU71" s="205">
        <f t="shared" si="104"/>
        <v>451.8984761754964</v>
      </c>
      <c r="CV71" s="205">
        <f t="shared" si="104"/>
        <v>150.63282539183183</v>
      </c>
      <c r="CW71" s="205">
        <f t="shared" si="104"/>
        <v>148.16499999999999</v>
      </c>
      <c r="CX71" s="205">
        <f t="shared" si="104"/>
        <v>444.495</v>
      </c>
      <c r="CY71" s="205">
        <f t="shared" si="104"/>
        <v>740.82499999999993</v>
      </c>
      <c r="CZ71" s="205">
        <f t="shared" si="104"/>
        <v>1037.155</v>
      </c>
      <c r="DA71" s="205">
        <f t="shared" si="104"/>
        <v>1333.4849999999999</v>
      </c>
    </row>
    <row r="72" spans="1:105" s="205" customFormat="1">
      <c r="A72" s="205" t="str">
        <f>Income!A88</f>
        <v>TOTAL</v>
      </c>
      <c r="F72" s="205">
        <f>SUM(F59:F71)</f>
        <v>61075.433880018267</v>
      </c>
      <c r="G72" s="205">
        <f t="shared" ref="G72:BR72" si="105">SUM(G59:G71)</f>
        <v>60735.173880018272</v>
      </c>
      <c r="H72" s="205">
        <f t="shared" si="105"/>
        <v>60394.913880018277</v>
      </c>
      <c r="I72" s="205">
        <f t="shared" si="105"/>
        <v>60054.653880018268</v>
      </c>
      <c r="J72" s="205">
        <f t="shared" si="105"/>
        <v>59714.393880018273</v>
      </c>
      <c r="K72" s="205">
        <f t="shared" si="105"/>
        <v>59374.133880018271</v>
      </c>
      <c r="L72" s="205">
        <f t="shared" si="105"/>
        <v>59033.873880018269</v>
      </c>
      <c r="M72" s="205">
        <f t="shared" si="105"/>
        <v>58693.613880018274</v>
      </c>
      <c r="N72" s="205">
        <f t="shared" si="105"/>
        <v>58353.353880018265</v>
      </c>
      <c r="O72" s="205">
        <f t="shared" si="105"/>
        <v>58013.09388001827</v>
      </c>
      <c r="P72" s="205">
        <f t="shared" si="105"/>
        <v>57672.833880018276</v>
      </c>
      <c r="Q72" s="205">
        <f t="shared" si="105"/>
        <v>57332.573880018273</v>
      </c>
      <c r="R72" s="205">
        <f t="shared" si="105"/>
        <v>56992.313880018271</v>
      </c>
      <c r="S72" s="205">
        <f t="shared" si="105"/>
        <v>56652.053880018269</v>
      </c>
      <c r="T72" s="205">
        <f t="shared" si="105"/>
        <v>56311.793880018275</v>
      </c>
      <c r="U72" s="205">
        <f t="shared" si="105"/>
        <v>56396.273799562063</v>
      </c>
      <c r="V72" s="205">
        <f t="shared" si="105"/>
        <v>56905.493638649648</v>
      </c>
      <c r="W72" s="205">
        <f t="shared" si="105"/>
        <v>57414.713477737227</v>
      </c>
      <c r="X72" s="205">
        <f t="shared" si="105"/>
        <v>57923.933316824805</v>
      </c>
      <c r="Y72" s="205">
        <f t="shared" si="105"/>
        <v>58433.153155912383</v>
      </c>
      <c r="Z72" s="205">
        <f t="shared" si="105"/>
        <v>58942.372994999962</v>
      </c>
      <c r="AA72" s="205">
        <f t="shared" si="105"/>
        <v>59451.59283408754</v>
      </c>
      <c r="AB72" s="205">
        <f t="shared" si="105"/>
        <v>59960.812673175118</v>
      </c>
      <c r="AC72" s="205">
        <f t="shared" si="105"/>
        <v>60470.032512262704</v>
      </c>
      <c r="AD72" s="205">
        <f t="shared" si="105"/>
        <v>60979.252351350275</v>
      </c>
      <c r="AE72" s="205">
        <f t="shared" si="105"/>
        <v>61488.472190437853</v>
      </c>
      <c r="AF72" s="205">
        <f t="shared" si="105"/>
        <v>61997.692029525439</v>
      </c>
      <c r="AG72" s="205">
        <f t="shared" si="105"/>
        <v>62506.911868613017</v>
      </c>
      <c r="AH72" s="205">
        <f t="shared" si="105"/>
        <v>63016.131707700588</v>
      </c>
      <c r="AI72" s="205">
        <f t="shared" si="105"/>
        <v>63525.351546788173</v>
      </c>
      <c r="AJ72" s="205">
        <f t="shared" si="105"/>
        <v>64034.571385875752</v>
      </c>
      <c r="AK72" s="205">
        <f t="shared" si="105"/>
        <v>64543.79122496333</v>
      </c>
      <c r="AL72" s="205">
        <f t="shared" si="105"/>
        <v>65053.011064050916</v>
      </c>
      <c r="AM72" s="205">
        <f t="shared" si="105"/>
        <v>65562.230903138494</v>
      </c>
      <c r="AN72" s="205">
        <f t="shared" si="105"/>
        <v>66071.450742226065</v>
      </c>
      <c r="AO72" s="205">
        <f t="shared" si="105"/>
        <v>66580.67058131365</v>
      </c>
      <c r="AP72" s="205">
        <f t="shared" si="105"/>
        <v>67089.890420401221</v>
      </c>
      <c r="AQ72" s="205">
        <f t="shared" si="105"/>
        <v>67599.110259488807</v>
      </c>
      <c r="AR72" s="205">
        <f t="shared" si="105"/>
        <v>68108.330098576393</v>
      </c>
      <c r="AS72" s="205">
        <f t="shared" si="105"/>
        <v>68617.549937663964</v>
      </c>
      <c r="AT72" s="205">
        <f t="shared" si="105"/>
        <v>69126.769776751549</v>
      </c>
      <c r="AU72" s="205">
        <f t="shared" si="105"/>
        <v>69635.98961583912</v>
      </c>
      <c r="AV72" s="205">
        <f t="shared" si="105"/>
        <v>70145.209454926706</v>
      </c>
      <c r="AW72" s="205">
        <f t="shared" si="105"/>
        <v>70654.429294014277</v>
      </c>
      <c r="AX72" s="205">
        <f t="shared" si="105"/>
        <v>71163.649133101862</v>
      </c>
      <c r="AY72" s="205">
        <f t="shared" si="105"/>
        <v>71672.868972189448</v>
      </c>
      <c r="AZ72" s="205">
        <f t="shared" si="105"/>
        <v>72182.088811277034</v>
      </c>
      <c r="BA72" s="205">
        <f t="shared" si="105"/>
        <v>72691.308650364605</v>
      </c>
      <c r="BB72" s="205">
        <f t="shared" si="105"/>
        <v>73200.52848945219</v>
      </c>
      <c r="BC72" s="205">
        <f t="shared" si="105"/>
        <v>73709.748328539761</v>
      </c>
      <c r="BD72" s="205">
        <f t="shared" si="105"/>
        <v>74218.968167627347</v>
      </c>
      <c r="BE72" s="205">
        <f t="shared" si="105"/>
        <v>79497.365732277103</v>
      </c>
      <c r="BF72" s="205">
        <f t="shared" si="105"/>
        <v>84775.76329692686</v>
      </c>
      <c r="BG72" s="205">
        <f t="shared" si="105"/>
        <v>90054.160861576631</v>
      </c>
      <c r="BH72" s="205">
        <f t="shared" si="105"/>
        <v>95332.558426226416</v>
      </c>
      <c r="BI72" s="205">
        <f t="shared" si="105"/>
        <v>100610.95599087616</v>
      </c>
      <c r="BJ72" s="205">
        <f t="shared" si="105"/>
        <v>105889.35355552593</v>
      </c>
      <c r="BK72" s="205">
        <f t="shared" si="105"/>
        <v>111167.7511201757</v>
      </c>
      <c r="BL72" s="205">
        <f t="shared" si="105"/>
        <v>116446.14868482546</v>
      </c>
      <c r="BM72" s="205">
        <f t="shared" si="105"/>
        <v>121724.54624947523</v>
      </c>
      <c r="BN72" s="205">
        <f t="shared" si="105"/>
        <v>127002.94381412498</v>
      </c>
      <c r="BO72" s="205">
        <f t="shared" si="105"/>
        <v>132281.34137877476</v>
      </c>
      <c r="BP72" s="205">
        <f t="shared" si="105"/>
        <v>137559.73894342451</v>
      </c>
      <c r="BQ72" s="205">
        <f t="shared" si="105"/>
        <v>142838.1365080743</v>
      </c>
      <c r="BR72" s="205">
        <f t="shared" si="105"/>
        <v>148116.53407272408</v>
      </c>
      <c r="BS72" s="205">
        <f t="shared" ref="BS72:DA72" si="106">SUM(BS59:BS71)</f>
        <v>153394.93163737384</v>
      </c>
      <c r="BT72" s="205">
        <f t="shared" si="106"/>
        <v>158673.3292020236</v>
      </c>
      <c r="BU72" s="205">
        <f t="shared" si="106"/>
        <v>163951.72676667332</v>
      </c>
      <c r="BV72" s="205">
        <f t="shared" si="106"/>
        <v>169230.12433132314</v>
      </c>
      <c r="BW72" s="205">
        <f t="shared" si="106"/>
        <v>174508.52189597287</v>
      </c>
      <c r="BX72" s="205">
        <f t="shared" si="106"/>
        <v>179786.91946062265</v>
      </c>
      <c r="BY72" s="205">
        <f t="shared" si="106"/>
        <v>185065.31702527244</v>
      </c>
      <c r="BZ72" s="205">
        <f t="shared" si="106"/>
        <v>190343.71458992219</v>
      </c>
      <c r="CA72" s="205">
        <f t="shared" si="106"/>
        <v>195622.11215457198</v>
      </c>
      <c r="CB72" s="205">
        <f t="shared" si="106"/>
        <v>200900.50971922171</v>
      </c>
      <c r="CC72" s="205">
        <f t="shared" si="106"/>
        <v>206178.90728387146</v>
      </c>
      <c r="CD72" s="205">
        <f t="shared" si="106"/>
        <v>211457.30484852125</v>
      </c>
      <c r="CE72" s="205">
        <f t="shared" si="106"/>
        <v>216735.70241317101</v>
      </c>
      <c r="CF72" s="205">
        <f t="shared" si="106"/>
        <v>222014.09997782076</v>
      </c>
      <c r="CG72" s="205">
        <f t="shared" si="106"/>
        <v>227292.49754247055</v>
      </c>
      <c r="CH72" s="205">
        <f t="shared" si="106"/>
        <v>232570.8951071203</v>
      </c>
      <c r="CI72" s="205">
        <f t="shared" si="106"/>
        <v>252333.06105404886</v>
      </c>
      <c r="CJ72" s="205">
        <f t="shared" si="106"/>
        <v>272095.22700097738</v>
      </c>
      <c r="CK72" s="205">
        <f t="shared" si="106"/>
        <v>291857.39294790593</v>
      </c>
      <c r="CL72" s="205">
        <f t="shared" si="106"/>
        <v>311619.55889483448</v>
      </c>
      <c r="CM72" s="205">
        <f t="shared" si="106"/>
        <v>331381.72484176297</v>
      </c>
      <c r="CN72" s="205">
        <f t="shared" si="106"/>
        <v>351143.89078869153</v>
      </c>
      <c r="CO72" s="205">
        <f t="shared" si="106"/>
        <v>370906.05673562002</v>
      </c>
      <c r="CP72" s="205">
        <f t="shared" si="106"/>
        <v>390668.22268254857</v>
      </c>
      <c r="CQ72" s="205">
        <f t="shared" si="106"/>
        <v>410430.38862947712</v>
      </c>
      <c r="CR72" s="205">
        <f t="shared" si="106"/>
        <v>430192.55457640562</v>
      </c>
      <c r="CS72" s="205">
        <f t="shared" si="106"/>
        <v>449954.72052333422</v>
      </c>
      <c r="CT72" s="205">
        <f t="shared" si="106"/>
        <v>469716.88647026272</v>
      </c>
      <c r="CU72" s="205">
        <f t="shared" si="106"/>
        <v>489479.05241719121</v>
      </c>
      <c r="CV72" s="205">
        <f t="shared" si="106"/>
        <v>509241.21836411976</v>
      </c>
      <c r="CW72" s="205">
        <f t="shared" si="106"/>
        <v>524576.11683758406</v>
      </c>
      <c r="CX72" s="205">
        <f t="shared" si="106"/>
        <v>535483.747837584</v>
      </c>
      <c r="CY72" s="205">
        <f t="shared" si="106"/>
        <v>546391.37883758394</v>
      </c>
      <c r="CZ72" s="205">
        <f t="shared" si="106"/>
        <v>557299.00983758399</v>
      </c>
      <c r="DA72" s="205">
        <f t="shared" si="106"/>
        <v>568206.64083758404</v>
      </c>
    </row>
    <row r="73" spans="1:105">
      <c r="A73" s="202" t="str">
        <f>Income!A89</f>
        <v>Food Poverty line</v>
      </c>
    </row>
    <row r="74" spans="1:105">
      <c r="A74" s="202" t="str">
        <f>Income!A90</f>
        <v>Lower Bound Poverty line</v>
      </c>
    </row>
    <row r="96" spans="4:15"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  <c r="O96" s="212"/>
    </row>
    <row r="97" spans="1:31">
      <c r="C97" s="211"/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13"/>
    </row>
    <row r="98" spans="1:31">
      <c r="C98" s="211"/>
      <c r="D98" s="213"/>
      <c r="E98" s="213"/>
      <c r="F98" s="213"/>
      <c r="G98" s="213"/>
      <c r="H98" s="213"/>
      <c r="I98" s="213"/>
      <c r="J98" s="213"/>
      <c r="K98" s="213"/>
      <c r="L98" s="213"/>
      <c r="M98" s="213"/>
      <c r="N98" s="213"/>
      <c r="O98" s="213"/>
    </row>
    <row r="99" spans="1:31">
      <c r="C99" s="211"/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3"/>
    </row>
    <row r="100" spans="1:31">
      <c r="C100" s="211"/>
      <c r="D100" s="213"/>
      <c r="E100" s="213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</row>
    <row r="101" spans="1:31">
      <c r="C101" s="211"/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</row>
    <row r="107" spans="1:31">
      <c r="B107" s="215">
        <f>A23</f>
        <v>0</v>
      </c>
      <c r="C107" s="215">
        <f>B23</f>
        <v>28.999999999999996</v>
      </c>
      <c r="D107" s="215">
        <f>C23</f>
        <v>71</v>
      </c>
      <c r="E107" s="215">
        <f>D23</f>
        <v>89</v>
      </c>
      <c r="F107" s="215">
        <f>E23</f>
        <v>100</v>
      </c>
      <c r="AD107" s="202" t="s">
        <v>117</v>
      </c>
    </row>
    <row r="108" spans="1:31">
      <c r="A108" s="214" t="str">
        <f t="shared" ref="A108:A120" si="107">A42</f>
        <v>Own crops Consumed</v>
      </c>
      <c r="B108" s="213">
        <v>0</v>
      </c>
      <c r="C108" s="213">
        <f>AD42</f>
        <v>40.969670943527198</v>
      </c>
      <c r="D108" s="213">
        <f>BU42</f>
        <v>-31.901516172839152</v>
      </c>
      <c r="E108" s="213">
        <f>CR42</f>
        <v>-26.084521673103595</v>
      </c>
      <c r="F108" s="213">
        <f xml:space="preserve"> 0.0529*F107^2 - 5.8907*F107 + 166.43</f>
        <v>106.36000000000007</v>
      </c>
    </row>
    <row r="109" spans="1:31">
      <c r="A109" s="214" t="str">
        <f t="shared" si="107"/>
        <v>Own crops sold</v>
      </c>
      <c r="B109" s="213">
        <f xml:space="preserve"> 0.2249*B107^2 + 18.644*B107 + 340.26</f>
        <v>340.26</v>
      </c>
      <c r="C109" s="213">
        <f>AD43</f>
        <v>79.805483051501582</v>
      </c>
      <c r="D109" s="213">
        <f t="shared" ref="D109:D120" si="108">BU43</f>
        <v>-45.044989050464451</v>
      </c>
      <c r="E109" s="213">
        <f t="shared" ref="E109:E120" si="109">CR43</f>
        <v>3506.828580130099</v>
      </c>
      <c r="F109" s="213">
        <f xml:space="preserve"> 0.2249*F107^2 - 18.644*F107 + 340.26</f>
        <v>724.86000000000013</v>
      </c>
      <c r="AD109" s="218" t="s">
        <v>120</v>
      </c>
      <c r="AE109" s="202">
        <f>(0.0000001/7+0.00002/6+0.0039/5+0.2271/4+1.2857/3+16.311/2+13342)</f>
        <v>13350.641625014287</v>
      </c>
    </row>
    <row r="110" spans="1:31">
      <c r="A110" s="214" t="str">
        <f t="shared" si="107"/>
        <v>Animal products consumed</v>
      </c>
      <c r="B110" s="213">
        <v>0</v>
      </c>
      <c r="C110" s="213">
        <f t="shared" ref="C110:C120" si="110">AD44</f>
        <v>18.040165852504199</v>
      </c>
      <c r="D110" s="213">
        <f t="shared" si="108"/>
        <v>3.0496470845899921</v>
      </c>
      <c r="E110" s="213">
        <f t="shared" si="109"/>
        <v>136.49059888833486</v>
      </c>
      <c r="F110" s="213">
        <f xml:space="preserve"> -0.005*F107^2 + 0.7378*F107 - 15.349</f>
        <v>8.4310000000000009</v>
      </c>
      <c r="AD110" s="218" t="s">
        <v>118</v>
      </c>
      <c r="AE110" s="202">
        <f>(0.5*(DA72-F72))</f>
        <v>253565.6034787829</v>
      </c>
    </row>
    <row r="111" spans="1:31">
      <c r="A111" s="214" t="str">
        <f t="shared" si="107"/>
        <v>Animal products sold</v>
      </c>
      <c r="B111" s="213">
        <v>0</v>
      </c>
      <c r="C111" s="213">
        <f t="shared" si="110"/>
        <v>0</v>
      </c>
      <c r="D111" s="213">
        <f t="shared" si="108"/>
        <v>0</v>
      </c>
      <c r="E111" s="213">
        <f t="shared" si="109"/>
        <v>0</v>
      </c>
      <c r="F111" s="213">
        <v>0</v>
      </c>
      <c r="AD111" s="218" t="s">
        <v>119</v>
      </c>
      <c r="AE111" s="213">
        <f>AE109/AE110</f>
        <v>5.2651627199630811E-2</v>
      </c>
    </row>
    <row r="112" spans="1:31">
      <c r="A112" s="214" t="str">
        <f t="shared" si="107"/>
        <v>Animals sold</v>
      </c>
      <c r="B112" s="213">
        <v>0</v>
      </c>
      <c r="C112" s="213">
        <f t="shared" si="110"/>
        <v>208.83798559996288</v>
      </c>
      <c r="D112" s="213">
        <f t="shared" si="108"/>
        <v>259.60387499149999</v>
      </c>
      <c r="E112" s="213">
        <f t="shared" si="109"/>
        <v>942.3589556513009</v>
      </c>
      <c r="F112" s="213">
        <v>0</v>
      </c>
    </row>
    <row r="113" spans="1:31">
      <c r="A113" s="214" t="str">
        <f t="shared" si="107"/>
        <v>Wild foods consumed and sold</v>
      </c>
      <c r="B113" s="213">
        <v>0</v>
      </c>
      <c r="C113" s="213">
        <f t="shared" si="110"/>
        <v>-22.922475133316521</v>
      </c>
      <c r="D113" s="213">
        <f t="shared" si="108"/>
        <v>-12.172603279571579</v>
      </c>
      <c r="E113" s="213">
        <f t="shared" si="109"/>
        <v>0</v>
      </c>
      <c r="F113" s="213">
        <f xml:space="preserve"> 0.0898*F107^2 - 11.826*F107 + 336.79</f>
        <v>52.189999999999884</v>
      </c>
      <c r="AD113" s="218" t="s">
        <v>121</v>
      </c>
      <c r="AE113" s="202">
        <v>0.57299999999999995</v>
      </c>
    </row>
    <row r="114" spans="1:31">
      <c r="A114" s="214" t="str">
        <f t="shared" si="107"/>
        <v>Labour - casual</v>
      </c>
      <c r="B114" s="213">
        <v>0</v>
      </c>
      <c r="C114" s="213">
        <f t="shared" si="110"/>
        <v>-170.55030376899424</v>
      </c>
      <c r="D114" s="213">
        <f t="shared" si="108"/>
        <v>6290.4267883629027</v>
      </c>
      <c r="E114" s="213">
        <f t="shared" si="109"/>
        <v>11279.38596534038</v>
      </c>
      <c r="F114" s="213">
        <v>0</v>
      </c>
      <c r="AD114" s="218" t="s">
        <v>122</v>
      </c>
      <c r="AE114" s="202">
        <v>0.51500000000000001</v>
      </c>
    </row>
    <row r="115" spans="1:31">
      <c r="A115" s="214" t="str">
        <f t="shared" si="107"/>
        <v>Labour - formal emp</v>
      </c>
      <c r="B115" s="213">
        <v>0</v>
      </c>
      <c r="C115" s="213">
        <f t="shared" si="110"/>
        <v>-165.38211274569136</v>
      </c>
      <c r="D115" s="213">
        <f t="shared" si="108"/>
        <v>0</v>
      </c>
      <c r="E115" s="213">
        <f t="shared" si="109"/>
        <v>4049.0103465324432</v>
      </c>
      <c r="F115" s="213">
        <f xml:space="preserve"> -2.582*F107^2 + 352.49*F107 - 6757.3</f>
        <v>2671.7</v>
      </c>
    </row>
    <row r="116" spans="1:31">
      <c r="A116" s="214" t="str">
        <f t="shared" si="107"/>
        <v>Self - employment</v>
      </c>
      <c r="B116" s="213">
        <v>0</v>
      </c>
      <c r="C116" s="213">
        <f t="shared" si="110"/>
        <v>0</v>
      </c>
      <c r="D116" s="213">
        <f t="shared" si="108"/>
        <v>0</v>
      </c>
      <c r="E116" s="213">
        <f t="shared" si="109"/>
        <v>0</v>
      </c>
      <c r="F116" s="213">
        <f xml:space="preserve"> 0.025*F107^2 - 2.8902*F107 + 868.55</f>
        <v>829.53</v>
      </c>
    </row>
    <row r="117" spans="1:31">
      <c r="A117" s="214" t="str">
        <f t="shared" si="107"/>
        <v>Small business/petty trading</v>
      </c>
      <c r="B117" s="213">
        <v>0</v>
      </c>
      <c r="C117" s="213">
        <f t="shared" si="110"/>
        <v>723.54674326239967</v>
      </c>
      <c r="D117" s="213">
        <f t="shared" si="108"/>
        <v>-1174.2130004944086</v>
      </c>
      <c r="E117" s="213">
        <f t="shared" si="109"/>
        <v>404.90103465324427</v>
      </c>
      <c r="F117" s="213">
        <f xml:space="preserve"> 1.6289*F107^2 - 121.84*F107 + 2098.5</f>
        <v>6203.5</v>
      </c>
    </row>
    <row r="118" spans="1:31">
      <c r="A118" s="214" t="str">
        <f t="shared" si="107"/>
        <v>Food transfer - official</v>
      </c>
      <c r="B118" s="213">
        <f xml:space="preserve"> 0</f>
        <v>0</v>
      </c>
      <c r="C118" s="213">
        <f t="shared" si="110"/>
        <v>7.8660805520248944</v>
      </c>
      <c r="D118" s="213">
        <f t="shared" si="108"/>
        <v>-39.693960272378902</v>
      </c>
      <c r="E118" s="213">
        <f t="shared" si="109"/>
        <v>-229.45936181050337</v>
      </c>
      <c r="F118" s="213">
        <f>0.0411*F107^2 - 5.0851*F107 + 112.24</f>
        <v>14.730000000000004</v>
      </c>
    </row>
    <row r="119" spans="1:31">
      <c r="A119" s="214" t="str">
        <f t="shared" si="107"/>
        <v>Cash transfer - official</v>
      </c>
      <c r="B119" s="213">
        <v>0</v>
      </c>
      <c r="C119" s="213">
        <f t="shared" si="110"/>
        <v>-310.0914613981713</v>
      </c>
      <c r="D119" s="213">
        <f t="shared" si="108"/>
        <v>0</v>
      </c>
      <c r="E119" s="213">
        <f t="shared" si="109"/>
        <v>0</v>
      </c>
      <c r="F119" s="213">
        <f xml:space="preserve"> -0.4727*F107^2 + 44.988*F107 - 899.63</f>
        <v>-1127.83</v>
      </c>
    </row>
    <row r="120" spans="1:31">
      <c r="A120" s="214" t="str">
        <f t="shared" si="107"/>
        <v>Cash transfer - gifts</v>
      </c>
      <c r="B120" s="213">
        <v>0</v>
      </c>
      <c r="C120" s="213">
        <f t="shared" si="110"/>
        <v>99.10006287183225</v>
      </c>
      <c r="D120" s="213">
        <f t="shared" si="108"/>
        <v>28.343323480436069</v>
      </c>
      <c r="E120" s="213">
        <f t="shared" si="109"/>
        <v>-301.26565078366389</v>
      </c>
      <c r="F120" s="213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2016-06-04T23:01:31Z</dcterms:modified>
  <cp:category/>
</cp:coreProperties>
</file>