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1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I83" i="12"/>
  <c r="R24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<sst xmlns="http://schemas.openxmlformats.org/spreadsheetml/2006/main" count="788" uniqueCount="143">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</sst>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0.0143790149391233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0.29701286716694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0.406261282813543</c:v>
                </c:pt>
                <c:pt idx="2" formatCode="0.0%">
                  <c:v>0.599322403608222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248088"/>
        <c:axId val="2102361672"/>
      </c:barChart>
      <c:catAx>
        <c:axId val="210224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36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36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24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592120"/>
        <c:axId val="2086595144"/>
      </c:barChart>
      <c:catAx>
        <c:axId val="208659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9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59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9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955480"/>
        <c:axId val="2119970632"/>
      </c:barChart>
      <c:catAx>
        <c:axId val="211995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97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97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95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743048"/>
        <c:axId val="2100746040"/>
      </c:barChart>
      <c:catAx>
        <c:axId val="210074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74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74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74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Normal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73016"/>
        <c:axId val="21008763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73016"/>
        <c:axId val="2100876392"/>
      </c:lineChart>
      <c:catAx>
        <c:axId val="210087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87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87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87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997064"/>
        <c:axId val="21010003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97064"/>
        <c:axId val="2101000392"/>
      </c:lineChart>
      <c:catAx>
        <c:axId val="210099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00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00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99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222888"/>
        <c:axId val="20862262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22888"/>
        <c:axId val="2086226232"/>
      </c:lineChart>
      <c:catAx>
        <c:axId val="20862228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22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22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22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0.215906764769208</c:v>
                </c:pt>
                <c:pt idx="2">
                  <c:v>0.107456146746817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0.228214189466741</c:v>
                </c:pt>
                <c:pt idx="2">
                  <c:v>0.336664807489132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-0.0714506207536248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48632"/>
        <c:axId val="2084219800"/>
      </c:barChart>
      <c:catAx>
        <c:axId val="208414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21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1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4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66408"/>
        <c:axId val="2087569768"/>
      </c:barChart>
      <c:catAx>
        <c:axId val="208756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6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56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6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766824"/>
        <c:axId val="2089321400"/>
      </c:barChart>
      <c:catAx>
        <c:axId val="208576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32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32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76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0.0271324795660641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0.258536064491095</c:v>
                </c:pt>
                <c:pt idx="2">
                  <c:v>0.473837907108165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-0.326166003418766</c:v>
                </c:pt>
                <c:pt idx="2">
                  <c:v>-0.147348329840673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094072"/>
        <c:axId val="2086097416"/>
      </c:barChart>
      <c:catAx>
        <c:axId val="20860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9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09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9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21528"/>
        <c:axId val="2083022888"/>
      </c:barChart>
      <c:catAx>
        <c:axId val="208302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02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02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0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61336"/>
        <c:axId val="20841881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61336"/>
        <c:axId val="20841881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61336"/>
        <c:axId val="2084188136"/>
      </c:scatterChart>
      <c:catAx>
        <c:axId val="2102661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188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4188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661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15576"/>
        <c:axId val="20993166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15576"/>
        <c:axId val="2099316664"/>
      </c:lineChart>
      <c:catAx>
        <c:axId val="2121015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9316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9316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0155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87896"/>
        <c:axId val="21025546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67928"/>
        <c:axId val="2102724280"/>
      </c:scatterChart>
      <c:valAx>
        <c:axId val="21205878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554600"/>
        <c:crosses val="autoZero"/>
        <c:crossBetween val="midCat"/>
      </c:valAx>
      <c:valAx>
        <c:axId val="2102554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587896"/>
        <c:crosses val="autoZero"/>
        <c:crossBetween val="midCat"/>
      </c:valAx>
      <c:valAx>
        <c:axId val="2102767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02724280"/>
        <c:crosses val="autoZero"/>
        <c:crossBetween val="midCat"/>
      </c:valAx>
      <c:valAx>
        <c:axId val="2102724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7679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24872"/>
        <c:axId val="21205414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24872"/>
        <c:axId val="2120541432"/>
      </c:lineChart>
      <c:catAx>
        <c:axId val="210262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541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0541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6248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874632"/>
        <c:axId val="2084748968"/>
      </c:barChart>
      <c:catAx>
        <c:axId val="20848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74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74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87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0.374338517810818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555928"/>
        <c:axId val="2089089704"/>
      </c:barChart>
      <c:catAx>
        <c:axId val="208655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08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08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55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0.29701286716694</c:v>
                </c:pt>
                <c:pt idx="1">
                  <c:v>0.29701286716694</c:v>
                </c:pt>
                <c:pt idx="2">
                  <c:v>0.29701286716694</c:v>
                </c:pt>
                <c:pt idx="3">
                  <c:v>0.29701286716694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282376"/>
        <c:axId val="2083277144"/>
      </c:barChart>
      <c:catAx>
        <c:axId val="2083282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7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2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8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145960"/>
        <c:axId val="2083105320"/>
      </c:barChart>
      <c:catAx>
        <c:axId val="2083145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05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10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4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970008"/>
        <c:axId val="2085973320"/>
      </c:barChart>
      <c:catAx>
        <c:axId val="2085970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973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97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97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707928"/>
        <c:axId val="2085711240"/>
      </c:barChart>
      <c:catAx>
        <c:axId val="2085707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711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71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70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195592"/>
        <c:axId val="2086155928"/>
      </c:barChart>
      <c:catAx>
        <c:axId val="208619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15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15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19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temporary!Z1</f>
        <v>Apr-Jun</v>
      </c>
      <c r="AA1" s="258"/>
      <c r="AB1" s="257" t="str">
        <f>temporary!AB1</f>
        <v>Jul-Sep</v>
      </c>
      <c r="AC1" s="258"/>
      <c r="AD1" s="257" t="str">
        <f>temporary!AD1</f>
        <v>Oct-Dec</v>
      </c>
      <c r="AE1" s="258"/>
      <c r="AF1" s="257" t="str">
        <f>temporary!AF1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4">$M14*Z14*4</f>
        <v>0</v>
      </c>
      <c r="AB14" s="156">
        <f>temporary!AB14</f>
        <v>1</v>
      </c>
      <c r="AC14" s="121">
        <f>$M14*AB14*4</f>
        <v>0</v>
      </c>
      <c r="AD14" s="156">
        <f>temporary!AD14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4"/>
        <v>0</v>
      </c>
      <c r="AB15" s="156">
        <f>temporary!AB15</f>
        <v>0.25</v>
      </c>
      <c r="AC15" s="121">
        <f>$M15*AB15*4</f>
        <v>0</v>
      </c>
      <c r="AD15" s="156">
        <f>temporary!AD15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temporary!E16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temporary!E17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temporary!E18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temporary!E19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temporary!E20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temporary!E21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temporary!E22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temporary!E23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31327.576117780685</v>
      </c>
      <c r="T23" s="179">
        <f>SUM(T7:T22)</f>
        <v>32389.576117780685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temporary!E24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7"/>
        <v>0</v>
      </c>
      <c r="Z24" s="156">
        <f>temporary!Z16</f>
        <v>0</v>
      </c>
      <c r="AA24" s="121">
        <f t="shared" si="14"/>
        <v>0</v>
      </c>
      <c r="AB24" s="156">
        <f>temporary!AB16</f>
        <v>0</v>
      </c>
      <c r="AC24" s="121">
        <f t="shared" ref="AC24:AC29" si="22">$M24*AB24*4</f>
        <v>0</v>
      </c>
      <c r="AD24" s="156">
        <f>temporary!AD16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temporary!E25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7"/>
        <v>0</v>
      </c>
      <c r="Z25" s="156">
        <f>temporary!Z17</f>
        <v>0.29409999999999997</v>
      </c>
      <c r="AA25" s="121">
        <f t="shared" si="14"/>
        <v>0</v>
      </c>
      <c r="AB25" s="156">
        <f>temporary!AB17</f>
        <v>0.17649999999999999</v>
      </c>
      <c r="AC25" s="121">
        <f t="shared" si="22"/>
        <v>0</v>
      </c>
      <c r="AD25" s="156">
        <f>temporary!AD17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56">
        <f>temporary!Z26</f>
        <v>0.25</v>
      </c>
      <c r="AA26" s="121">
        <f t="shared" si="14"/>
        <v>8.9285714285714288E-2</v>
      </c>
      <c r="AB26" s="156">
        <f>temporary!AB26</f>
        <v>0.25</v>
      </c>
      <c r="AC26" s="121">
        <f t="shared" si="22"/>
        <v>8.9285714285714288E-2</v>
      </c>
      <c r="AD26" s="156">
        <f>temporary!AD26</f>
        <v>0.25</v>
      </c>
      <c r="AE26" s="121">
        <f t="shared" si="23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4"/>
        <v>0</v>
      </c>
      <c r="AB27" s="156">
        <f>temporary!AB27</f>
        <v>0.25</v>
      </c>
      <c r="AC27" s="121">
        <f t="shared" si="22"/>
        <v>0</v>
      </c>
      <c r="AD27" s="156">
        <f>temporary!AD27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4"/>
        <v>0</v>
      </c>
      <c r="AB28" s="156">
        <f>temporary!AB28</f>
        <v>0</v>
      </c>
      <c r="AC28" s="121">
        <f t="shared" si="22"/>
        <v>0</v>
      </c>
      <c r="AD28" s="156">
        <f>temporary!AD28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7"/>
        <v>0.89854709576798864</v>
      </c>
      <c r="Z29" s="156">
        <f>temporary!Z29</f>
        <v>0.25</v>
      </c>
      <c r="AA29" s="121">
        <f t="shared" si="14"/>
        <v>0.22463677394199716</v>
      </c>
      <c r="AB29" s="156">
        <f>temporary!AB29</f>
        <v>0.25</v>
      </c>
      <c r="AC29" s="121">
        <f t="shared" si="22"/>
        <v>0.22463677394199716</v>
      </c>
      <c r="AD29" s="156">
        <f>temporary!AD29</f>
        <v>0.25</v>
      </c>
      <c r="AE29" s="121">
        <f t="shared" si="23"/>
        <v>0.22463677394199716</v>
      </c>
      <c r="AF29" s="122">
        <f t="shared" si="8"/>
        <v>0.25</v>
      </c>
      <c r="AG29" s="121">
        <f t="shared" si="9"/>
        <v>0.22463677394199716</v>
      </c>
      <c r="AH29" s="123">
        <f t="shared" si="10"/>
        <v>1</v>
      </c>
      <c r="AI29" s="183">
        <f t="shared" si="11"/>
        <v>0.22463677394199716</v>
      </c>
      <c r="AJ29" s="120">
        <f t="shared" si="12"/>
        <v>0.22463677394199716</v>
      </c>
      <c r="AK29" s="119">
        <f t="shared" si="13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0.98427604443213024</v>
      </c>
      <c r="J30" s="231">
        <f>IF(I$32&lt;=1,I30,1-SUM(J6:J29))</f>
        <v>0.6860775117722886</v>
      </c>
      <c r="K30" s="22">
        <f t="shared" si="4"/>
        <v>0.61897901469489414</v>
      </c>
      <c r="L30" s="22">
        <f>IF(L124=L119,0,IF(K30="",0,(L119-L124)/(B119-B124)*K30))</f>
        <v>0.37433851781081839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0.1425610844663564</v>
      </c>
      <c r="M31" s="241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4895.4141491349437</v>
      </c>
      <c r="T31" s="234">
        <f>IF(T25&gt;T$23,T25-T$23,0)</f>
        <v>3833.4141491349437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1.2981985326598418</v>
      </c>
      <c r="J32" s="17"/>
      <c r="L32" s="22">
        <f>SUM(L6:L30)</f>
        <v>0.8574389155336436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21264.37414913495</v>
      </c>
      <c r="T32" s="234">
        <f t="shared" si="24"/>
        <v>20202.37414913495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1.0346158310597546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3833.4141491349469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4195.8</v>
      </c>
      <c r="J37" s="38">
        <f>J91*I$83</f>
        <v>4195.8</v>
      </c>
      <c r="K37" s="40">
        <f>(B37/B$65)</f>
        <v>0.14529520295202952</v>
      </c>
      <c r="L37" s="22">
        <f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6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4273.5</v>
      </c>
      <c r="J38" s="38">
        <f t="shared" ref="J38:J64" si="29">J92*I$83</f>
        <v>4273.5</v>
      </c>
      <c r="K38" s="40">
        <f t="shared" ref="K38:K64" si="30">(B38/B$65)</f>
        <v>0.14798585485854859</v>
      </c>
      <c r="L38" s="22">
        <f t="shared" ref="L38:L64" si="31">(K38*H38)</f>
        <v>0.16426429889298896</v>
      </c>
      <c r="M38" s="24">
        <f t="shared" ref="M38:M64" si="32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6"/>
        <v>#DIV/0!</v>
      </c>
      <c r="AG38" s="147" t="e">
        <f t="shared" ref="AG38:AG64" si="33">$J38*AF38</f>
        <v>#DIV/0!</v>
      </c>
      <c r="AH38" s="123" t="e">
        <f t="shared" ref="AH38:AI58" si="34">SUM(Z38,AB38,AD38,AF38)</f>
        <v>#DIV/0!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3330.0000000000005</v>
      </c>
      <c r="J39" s="38">
        <f t="shared" si="29"/>
        <v>3330.0000000000005</v>
      </c>
      <c r="K39" s="40">
        <f t="shared" si="30"/>
        <v>0.11531365313653137</v>
      </c>
      <c r="L39" s="22">
        <f t="shared" si="31"/>
        <v>0.12799815498154984</v>
      </c>
      <c r="M39" s="24">
        <f t="shared" si="32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3330.0000000000005</v>
      </c>
      <c r="AH39" s="123">
        <f t="shared" si="34"/>
        <v>1</v>
      </c>
      <c r="AI39" s="112">
        <f t="shared" si="34"/>
        <v>3330.0000000000005</v>
      </c>
      <c r="AJ39" s="148">
        <f t="shared" si="35"/>
        <v>0</v>
      </c>
      <c r="AK39" s="147">
        <f t="shared" si="36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4956</v>
      </c>
      <c r="J40" s="38">
        <f t="shared" si="29"/>
        <v>4955.9999999999991</v>
      </c>
      <c r="K40" s="40">
        <f t="shared" si="30"/>
        <v>0.16143911439114392</v>
      </c>
      <c r="L40" s="22">
        <f t="shared" si="31"/>
        <v>0.19049815498154982</v>
      </c>
      <c r="M40" s="24">
        <f t="shared" si="32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4955.9999999999991</v>
      </c>
      <c r="AH40" s="123">
        <f t="shared" si="34"/>
        <v>1</v>
      </c>
      <c r="AI40" s="112">
        <f t="shared" si="34"/>
        <v>4955.9999999999991</v>
      </c>
      <c r="AJ40" s="148">
        <f t="shared" si="35"/>
        <v>0</v>
      </c>
      <c r="AK40" s="147">
        <f t="shared" si="36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6372</v>
      </c>
      <c r="J41" s="38">
        <f t="shared" si="29"/>
        <v>6372.0000000000009</v>
      </c>
      <c r="K41" s="40">
        <f t="shared" si="30"/>
        <v>0.17297047970479704</v>
      </c>
      <c r="L41" s="22">
        <f t="shared" si="31"/>
        <v>0.20410516605166049</v>
      </c>
      <c r="M41" s="24">
        <f t="shared" si="32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6372.0000000000009</v>
      </c>
      <c r="AH41" s="123">
        <f t="shared" si="34"/>
        <v>1</v>
      </c>
      <c r="AI41" s="112">
        <f t="shared" si="34"/>
        <v>6372.0000000000009</v>
      </c>
      <c r="AJ41" s="148">
        <f t="shared" si="35"/>
        <v>0</v>
      </c>
      <c r="AK41" s="147">
        <f t="shared" si="36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37"/>
        <v>0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6372</v>
      </c>
      <c r="J43" s="38">
        <f t="shared" si="29"/>
        <v>6372</v>
      </c>
      <c r="K43" s="40">
        <f t="shared" si="30"/>
        <v>0.20756457564575645</v>
      </c>
      <c r="L43" s="22">
        <f t="shared" si="31"/>
        <v>0.24492619926199261</v>
      </c>
      <c r="M43" s="24">
        <f t="shared" si="32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1593</v>
      </c>
      <c r="AB43" s="156">
        <f>temporary!AB43</f>
        <v>0.25</v>
      </c>
      <c r="AC43" s="147">
        <f t="shared" si="38"/>
        <v>1593</v>
      </c>
      <c r="AD43" s="156">
        <f>temporary!AD43</f>
        <v>0.25</v>
      </c>
      <c r="AE43" s="147">
        <f t="shared" si="39"/>
        <v>1593</v>
      </c>
      <c r="AF43" s="122">
        <f t="shared" si="26"/>
        <v>0.25</v>
      </c>
      <c r="AG43" s="147">
        <f t="shared" si="33"/>
        <v>1593</v>
      </c>
      <c r="AH43" s="123">
        <f t="shared" si="34"/>
        <v>1</v>
      </c>
      <c r="AI43" s="112">
        <f t="shared" si="34"/>
        <v>6372</v>
      </c>
      <c r="AJ43" s="148">
        <f t="shared" si="35"/>
        <v>3186</v>
      </c>
      <c r="AK43" s="147">
        <f t="shared" si="36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1286</v>
      </c>
      <c r="J44" s="38">
        <f t="shared" si="29"/>
        <v>1286</v>
      </c>
      <c r="K44" s="40">
        <f t="shared" si="30"/>
        <v>4.9431119311193109E-2</v>
      </c>
      <c r="L44" s="22">
        <f t="shared" si="31"/>
        <v>4.9431119311193109E-2</v>
      </c>
      <c r="M44" s="24">
        <f t="shared" si="32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321.5</v>
      </c>
      <c r="AB44" s="156">
        <f>temporary!AB44</f>
        <v>0.25</v>
      </c>
      <c r="AC44" s="147">
        <f t="shared" si="38"/>
        <v>321.5</v>
      </c>
      <c r="AD44" s="156">
        <f>temporary!AD44</f>
        <v>0.25</v>
      </c>
      <c r="AE44" s="147">
        <f t="shared" si="39"/>
        <v>321.5</v>
      </c>
      <c r="AF44" s="122">
        <f t="shared" si="26"/>
        <v>0.25</v>
      </c>
      <c r="AG44" s="147">
        <f t="shared" si="33"/>
        <v>321.5</v>
      </c>
      <c r="AH44" s="123">
        <f t="shared" si="34"/>
        <v>1</v>
      </c>
      <c r="AI44" s="112">
        <f t="shared" si="34"/>
        <v>1286</v>
      </c>
      <c r="AJ44" s="148">
        <f t="shared" si="35"/>
        <v>643</v>
      </c>
      <c r="AK44" s="147">
        <f t="shared" si="36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30785.3</v>
      </c>
      <c r="J65" s="39">
        <f>SUM(J37:J64)</f>
        <v>30785.3</v>
      </c>
      <c r="K65" s="40">
        <f>SUM(K37:K64)</f>
        <v>1</v>
      </c>
      <c r="L65" s="22">
        <f>SUM(L37:L64)</f>
        <v>1.1425007687576876</v>
      </c>
      <c r="M65" s="24">
        <f>SUM(M37:M64)</f>
        <v>1.1833218019680198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1">J124*I$83</f>
        <v>13099.933824475605</v>
      </c>
      <c r="K70" s="40">
        <f t="shared" ref="K70:K75" si="42">B70/B$76</f>
        <v>0.35966695836835594</v>
      </c>
      <c r="L70" s="22">
        <f t="shared" ref="L70:L75" si="43">(L124*G$37*F$9/F$7)/B$130</f>
        <v>0.50353374171569831</v>
      </c>
      <c r="M70" s="24">
        <f t="shared" ref="M70:M75" si="44"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0.29940549405494055</v>
      </c>
      <c r="L71" s="22">
        <f t="shared" si="43"/>
        <v>0.35329848298482991</v>
      </c>
      <c r="M71" s="24">
        <f t="shared" si="44"/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0.53321033210332103</v>
      </c>
      <c r="L72" s="22">
        <f t="shared" si="43"/>
        <v>2.7132479566064134E-2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0.18346402214022139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17685.366175524396</v>
      </c>
      <c r="J74" s="51">
        <f t="shared" si="41"/>
        <v>12327.366991326009</v>
      </c>
      <c r="K74" s="40">
        <f t="shared" si="42"/>
        <v>0.25908877538399006</v>
      </c>
      <c r="L74" s="22">
        <f t="shared" si="43"/>
        <v>0.25853606449109529</v>
      </c>
      <c r="M74" s="24">
        <f t="shared" si="44"/>
        <v>0.47383790710816454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30785.300000000003</v>
      </c>
      <c r="J76" s="51">
        <f t="shared" si="41"/>
        <v>30785.300000000003</v>
      </c>
      <c r="K76" s="40">
        <f>SUM(K70:K75)</f>
        <v>1.6348355820508291</v>
      </c>
      <c r="L76" s="22">
        <f>SUM(L70:L75)</f>
        <v>1.1425007687576876</v>
      </c>
      <c r="M76" s="24">
        <f>SUM(M70:M75)</f>
        <v>1.3306701318086929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41"/>
        <v>3833.4141491349465</v>
      </c>
      <c r="K77" s="40"/>
      <c r="L77" s="22">
        <f>-(L131*G$37*F$9/F$7)/B$130</f>
        <v>-0.32616600341876589</v>
      </c>
      <c r="M77" s="24">
        <f>-J77/B$76</f>
        <v>-0.14734832984067292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Agricultural cash income -- see Data2</v>
      </c>
      <c r="B91" s="75">
        <f t="shared" ref="B91:C118" si="47">(B37/$B$83)</f>
        <v>0.34711917345647875</v>
      </c>
      <c r="C91" s="75">
        <f t="shared" si="47"/>
        <v>0</v>
      </c>
      <c r="D91" s="24">
        <f t="shared" ref="D91:D106" si="48">(B91+C91)</f>
        <v>0.34711917345647875</v>
      </c>
      <c r="H91" s="24">
        <f t="shared" ref="H91:H106" si="49">(E37*F37/G37*F$7/F$9)</f>
        <v>0.67272727272727284</v>
      </c>
      <c r="I91" s="22">
        <f t="shared" ref="I91:I106" si="50">(D91*H91)</f>
        <v>0.2335165348707221</v>
      </c>
      <c r="J91" s="24">
        <f t="shared" ref="J91:J99" si="51">IF(I$32&lt;=1+I$131,I91,L91+J$33*(I91-L91))</f>
        <v>0.2335165348707221</v>
      </c>
      <c r="K91" s="22">
        <f t="shared" ref="K91:K106" si="52">(B91)</f>
        <v>0.34711917345647875</v>
      </c>
      <c r="L91" s="22">
        <f t="shared" ref="L91:L106" si="53">(K91*H91)</f>
        <v>0.2335165348707221</v>
      </c>
      <c r="M91" s="227">
        <f t="shared" si="45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Construction cash income -- see Data2</v>
      </c>
      <c r="B92" s="75">
        <f t="shared" si="47"/>
        <v>0.35354730629826542</v>
      </c>
      <c r="C92" s="75">
        <f t="shared" si="47"/>
        <v>0</v>
      </c>
      <c r="D92" s="24">
        <f t="shared" si="48"/>
        <v>0.35354730629826542</v>
      </c>
      <c r="H92" s="24">
        <f t="shared" si="49"/>
        <v>0.67272727272727284</v>
      </c>
      <c r="I92" s="22">
        <f t="shared" si="50"/>
        <v>0.23784091514610586</v>
      </c>
      <c r="J92" s="24">
        <f t="shared" si="51"/>
        <v>0.23784091514610586</v>
      </c>
      <c r="K92" s="22">
        <f t="shared" si="52"/>
        <v>0.35354730629826542</v>
      </c>
      <c r="L92" s="22">
        <f t="shared" si="53"/>
        <v>0.23784091514610586</v>
      </c>
      <c r="M92" s="227">
        <f t="shared" si="45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7"/>
        <v>0.27549140750514189</v>
      </c>
      <c r="C93" s="75">
        <f t="shared" si="47"/>
        <v>0</v>
      </c>
      <c r="D93" s="24">
        <f t="shared" si="48"/>
        <v>0.27549140750514189</v>
      </c>
      <c r="H93" s="24">
        <f t="shared" si="49"/>
        <v>0.67272727272727284</v>
      </c>
      <c r="I93" s="22">
        <f t="shared" si="50"/>
        <v>0.18533058323073184</v>
      </c>
      <c r="J93" s="24">
        <f t="shared" si="51"/>
        <v>0.18533058323073184</v>
      </c>
      <c r="K93" s="22">
        <f t="shared" si="52"/>
        <v>0.27549140750514189</v>
      </c>
      <c r="L93" s="22">
        <f t="shared" si="53"/>
        <v>0.18533058323073184</v>
      </c>
      <c r="M93" s="227">
        <f t="shared" si="45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7"/>
        <v>0.38568797050719861</v>
      </c>
      <c r="C94" s="75">
        <f t="shared" si="47"/>
        <v>0</v>
      </c>
      <c r="D94" s="24">
        <f t="shared" si="48"/>
        <v>0.38568797050719861</v>
      </c>
      <c r="H94" s="24">
        <f t="shared" si="49"/>
        <v>0.7151515151515152</v>
      </c>
      <c r="I94" s="22">
        <f t="shared" si="50"/>
        <v>0.27582533648393598</v>
      </c>
      <c r="J94" s="24">
        <f t="shared" si="51"/>
        <v>0.27582533648393598</v>
      </c>
      <c r="K94" s="22">
        <f t="shared" si="52"/>
        <v>0.38568797050719861</v>
      </c>
      <c r="L94" s="22">
        <f t="shared" si="53"/>
        <v>0.27582533648393598</v>
      </c>
      <c r="M94" s="228">
        <f t="shared" si="45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7"/>
        <v>0.41323711125771284</v>
      </c>
      <c r="C95" s="75">
        <f t="shared" si="47"/>
        <v>8.2647422251542563E-2</v>
      </c>
      <c r="D95" s="24">
        <f t="shared" si="48"/>
        <v>0.49588453350925543</v>
      </c>
      <c r="H95" s="24">
        <f t="shared" si="49"/>
        <v>0.7151515151515152</v>
      </c>
      <c r="I95" s="22">
        <f t="shared" si="50"/>
        <v>0.35463257547934635</v>
      </c>
      <c r="J95" s="24">
        <f t="shared" si="51"/>
        <v>0.35463257547934635</v>
      </c>
      <c r="K95" s="22">
        <f t="shared" si="52"/>
        <v>0.41323711125771284</v>
      </c>
      <c r="L95" s="22">
        <f t="shared" si="53"/>
        <v>0.29552714623278858</v>
      </c>
      <c r="M95" s="228">
        <f t="shared" si="45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0.7151515151515152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7"/>
        <v>0.49588453350925538</v>
      </c>
      <c r="C97" s="75">
        <f t="shared" si="47"/>
        <v>0</v>
      </c>
      <c r="D97" s="24">
        <f t="shared" si="48"/>
        <v>0.49588453350925538</v>
      </c>
      <c r="H97" s="24">
        <f t="shared" si="49"/>
        <v>0.7151515151515152</v>
      </c>
      <c r="I97" s="22">
        <f t="shared" si="50"/>
        <v>0.35463257547934629</v>
      </c>
      <c r="J97" s="24">
        <f t="shared" si="51"/>
        <v>0.35463257547934629</v>
      </c>
      <c r="K97" s="22">
        <f t="shared" si="52"/>
        <v>0.49588453350925538</v>
      </c>
      <c r="L97" s="22">
        <f t="shared" si="53"/>
        <v>0.35463257547934629</v>
      </c>
      <c r="M97" s="228">
        <f t="shared" si="45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7"/>
        <v>0.11809398335053749</v>
      </c>
      <c r="C98" s="75">
        <f t="shared" si="47"/>
        <v>0</v>
      </c>
      <c r="D98" s="24">
        <f t="shared" si="48"/>
        <v>0.11809398335053749</v>
      </c>
      <c r="H98" s="24">
        <f t="shared" si="49"/>
        <v>0.60606060606060608</v>
      </c>
      <c r="I98" s="22">
        <f t="shared" si="50"/>
        <v>7.1572111121537871E-2</v>
      </c>
      <c r="J98" s="24">
        <f t="shared" si="51"/>
        <v>7.1572111121537871E-2</v>
      </c>
      <c r="K98" s="22">
        <f t="shared" si="52"/>
        <v>0.11809398335053749</v>
      </c>
      <c r="L98" s="22">
        <f t="shared" si="53"/>
        <v>7.1572111121537871E-2</v>
      </c>
      <c r="M98" s="228">
        <f t="shared" si="45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0.60606060606060608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0.60606060606060608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0.60606060606060608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0.60606060606060608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8">
        <f t="shared" si="45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0.60606060606060608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8">
        <f t="shared" si="45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1.7133506318117264</v>
      </c>
      <c r="J119" s="24">
        <f>SUM(J91:J118)</f>
        <v>1.7133506318117264</v>
      </c>
      <c r="K119" s="22">
        <f>SUM(K91:K118)</f>
        <v>2.3890614858845902</v>
      </c>
      <c r="L119" s="22">
        <f>SUM(L91:L118)</f>
        <v>1.6542452025651686</v>
      </c>
      <c r="M119" s="57">
        <f t="shared" si="45"/>
        <v>1.7133506318117264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63">(B124)</f>
        <v>0.85926647798309552</v>
      </c>
      <c r="L124" s="29">
        <f>IF(SUMPRODUCT($B$124:$B124,$H$124:$H124)&lt;L$119,($B124*$H124),L$119)</f>
        <v>0.72907458737959618</v>
      </c>
      <c r="M124" s="240">
        <f t="shared" si="62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63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2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3.9285552695657255E-2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0.98427604443213024</v>
      </c>
      <c r="J128" s="228">
        <f>(J30)</f>
        <v>0.6860775117722886</v>
      </c>
      <c r="K128" s="29">
        <f t="shared" si="63"/>
        <v>0.61897901469489414</v>
      </c>
      <c r="L128" s="29">
        <f>IF(L124=L119,0,(L119-L124)/(B119-B124)*K128)</f>
        <v>0.37433851781081839</v>
      </c>
      <c r="M128" s="240">
        <f t="shared" si="62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1.7133506318117264</v>
      </c>
      <c r="J130" s="228">
        <f>(J119)</f>
        <v>1.7133506318117264</v>
      </c>
      <c r="K130" s="29">
        <f t="shared" si="63"/>
        <v>2.3890614858845902</v>
      </c>
      <c r="L130" s="29">
        <f>(L119)</f>
        <v>1.6542452025651686</v>
      </c>
      <c r="M130" s="240">
        <f t="shared" si="62"/>
        <v>1.7133506318117264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0.21334801201925502</v>
      </c>
      <c r="K131" s="29"/>
      <c r="L131" s="29">
        <f>IF(I131&lt;SUM(L126:L127),0,I131-(SUM(L126:L127)))</f>
        <v>0.47226099198343952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6:N26">
    <cfRule type="cellIs" dxfId="264" priority="1" operator="equal">
      <formula>16</formula>
    </cfRule>
    <cfRule type="cellIs" dxfId="263" priority="2" operator="equal">
      <formula>15</formula>
    </cfRule>
    <cfRule type="cellIs" dxfId="262" priority="3" operator="equal">
      <formula>14</formula>
    </cfRule>
    <cfRule type="cellIs" dxfId="261" priority="4" operator="equal">
      <formula>13</formula>
    </cfRule>
    <cfRule type="cellIs" dxfId="260" priority="5" operator="equal">
      <formula>12</formula>
    </cfRule>
    <cfRule type="cellIs" dxfId="259" priority="6" operator="equal">
      <formula>11</formula>
    </cfRule>
    <cfRule type="cellIs" dxfId="258" priority="7" operator="equal">
      <formula>10</formula>
    </cfRule>
    <cfRule type="cellIs" dxfId="257" priority="8" operator="equal">
      <formula>9</formula>
    </cfRule>
    <cfRule type="cellIs" dxfId="256" priority="9" operator="equal">
      <formula>8</formula>
    </cfRule>
    <cfRule type="cellIs" dxfId="255" priority="10" operator="equal">
      <formula>7</formula>
    </cfRule>
    <cfRule type="cellIs" dxfId="254" priority="11" operator="equal">
      <formula>6</formula>
    </cfRule>
    <cfRule type="cellIs" dxfId="253" priority="12" operator="equal">
      <formula>5</formula>
    </cfRule>
    <cfRule type="cellIs" dxfId="252" priority="13" operator="equal">
      <formula>4</formula>
    </cfRule>
    <cfRule type="cellIs" dxfId="251" priority="14" operator="equal">
      <formula>3</formula>
    </cfRule>
    <cfRule type="cellIs" dxfId="250" priority="15" operator="equal">
      <formula>2</formula>
    </cfRule>
    <cfRule type="cellIs" dxfId="24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38101.276117780682</v>
      </c>
      <c r="T23" s="179">
        <f>SUM(T7:T22)</f>
        <v>38101.276117780682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 t="shared" si="17"/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14"/>
        <v>8.9285714285714288E-2</v>
      </c>
      <c r="AD26" s="116">
        <v>0.25</v>
      </c>
      <c r="AE26" s="121">
        <f t="shared" si="15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1.4379014939123309E-2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1.4379014939123309E-2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5.7516059756493237E-2</v>
      </c>
      <c r="Z27" s="116">
        <v>0.25</v>
      </c>
      <c r="AA27" s="121">
        <f t="shared" si="16"/>
        <v>1.4379014939123309E-2</v>
      </c>
      <c r="AB27" s="116">
        <v>0.25</v>
      </c>
      <c r="AC27" s="121">
        <f t="shared" si="14"/>
        <v>1.4379014939123309E-2</v>
      </c>
      <c r="AD27" s="116">
        <v>0.25</v>
      </c>
      <c r="AE27" s="121">
        <f t="shared" si="15"/>
        <v>1.4379014939123309E-2</v>
      </c>
      <c r="AF27" s="122">
        <f t="shared" si="8"/>
        <v>0.25</v>
      </c>
      <c r="AG27" s="121">
        <f t="shared" si="9"/>
        <v>1.4379014939123309E-2</v>
      </c>
      <c r="AH27" s="123">
        <f t="shared" si="10"/>
        <v>1</v>
      </c>
      <c r="AI27" s="183">
        <f t="shared" si="11"/>
        <v>1.4379014939123309E-2</v>
      </c>
      <c r="AJ27" s="120">
        <f t="shared" si="12"/>
        <v>1.4379014939123309E-2</v>
      </c>
      <c r="AK27" s="119">
        <f t="shared" si="13"/>
        <v>1.4379014939123309E-2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 t="shared" si="17"/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0.29701286716694025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0.29701286716694025</v>
      </c>
      <c r="N29" s="229"/>
      <c r="P29" s="22"/>
      <c r="V29" s="56"/>
      <c r="W29" s="110"/>
      <c r="X29" s="118"/>
      <c r="Y29" s="183">
        <f t="shared" si="7"/>
        <v>1.188051468667761</v>
      </c>
      <c r="Z29" s="116">
        <v>0.25</v>
      </c>
      <c r="AA29" s="121">
        <f t="shared" si="16"/>
        <v>0.29701286716694025</v>
      </c>
      <c r="AB29" s="116">
        <v>0.25</v>
      </c>
      <c r="AC29" s="121">
        <f t="shared" si="14"/>
        <v>0.29701286716694025</v>
      </c>
      <c r="AD29" s="116">
        <v>0.25</v>
      </c>
      <c r="AE29" s="121">
        <f t="shared" si="15"/>
        <v>0.29701286716694025</v>
      </c>
      <c r="AF29" s="122">
        <f t="shared" si="8"/>
        <v>0.25</v>
      </c>
      <c r="AG29" s="121">
        <f t="shared" si="9"/>
        <v>0.29701286716694025</v>
      </c>
      <c r="AH29" s="123">
        <f t="shared" si="10"/>
        <v>1</v>
      </c>
      <c r="AI29" s="183">
        <f t="shared" si="11"/>
        <v>0.29701286716694025</v>
      </c>
      <c r="AJ29" s="120">
        <f t="shared" si="12"/>
        <v>0.29701286716694025</v>
      </c>
      <c r="AK29" s="119">
        <f t="shared" si="13"/>
        <v>0.29701286716694025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1.3021597357951844</v>
      </c>
      <c r="J30" s="231">
        <f>IF(I$32&lt;=1,I30,1-SUM(J6:J29))</f>
        <v>0.59932240360822209</v>
      </c>
      <c r="K30" s="22">
        <f t="shared" si="4"/>
        <v>0.64832311232876716</v>
      </c>
      <c r="L30" s="22">
        <f>IF(L124=L119,0,IF(K30="",0,(L119-L124)/(B119-B124)*K30))</f>
        <v>0.40626128281354307</v>
      </c>
      <c r="M30" s="175">
        <f t="shared" si="6"/>
        <v>0.59932240360822209</v>
      </c>
      <c r="N30" s="166" t="s">
        <v>86</v>
      </c>
      <c r="O30" s="2"/>
      <c r="P30" s="22"/>
      <c r="Q30" s="234" t="s">
        <v>133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2.3972896144328883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0.13318212581481492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32"/>
        <v>0</v>
      </c>
      <c r="S31" s="234">
        <f t="shared" si="32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1.6160822240228958</v>
      </c>
      <c r="J32" s="17"/>
      <c r="L32" s="22">
        <f>SUM(L6:L30)</f>
        <v>0.86681787418518508</v>
      </c>
      <c r="M32" s="23"/>
      <c r="N32" s="56"/>
      <c r="O32" s="2"/>
      <c r="P32" s="22"/>
      <c r="Q32" s="234" t="s">
        <v>135</v>
      </c>
      <c r="R32" s="234">
        <f t="shared" si="32"/>
        <v>2542.0230641110757</v>
      </c>
      <c r="S32" s="234">
        <f t="shared" si="32"/>
        <v>14490.674149134953</v>
      </c>
      <c r="T32" s="234">
        <f t="shared" si="32"/>
        <v>14490.674149134953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0.40835653982272607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33">(E37*F37)</f>
        <v>1.1100000000000001</v>
      </c>
      <c r="I37" s="39">
        <f t="shared" ref="I37:I49" si="34">D37*H37</f>
        <v>12765.000000000002</v>
      </c>
      <c r="J37" s="38">
        <f t="shared" ref="J37:J49" si="35">J91*I$83</f>
        <v>12765</v>
      </c>
      <c r="K37" s="40">
        <f t="shared" ref="K37:K49" si="36">(B37/B$65)</f>
        <v>0.35953229537922843</v>
      </c>
      <c r="L37" s="22">
        <f t="shared" ref="L37:L49" si="37">(K37*H37)</f>
        <v>0.39908084787094361</v>
      </c>
      <c r="M37" s="24">
        <f t="shared" ref="M37:M49" si="38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1</v>
      </c>
      <c r="F38" s="26">
        <v>1.1100000000000001</v>
      </c>
      <c r="G38" s="22">
        <f t="shared" ref="G38:G64" si="41">(G$37)</f>
        <v>1.65</v>
      </c>
      <c r="H38" s="24">
        <f t="shared" si="33"/>
        <v>1.1100000000000001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 t="e">
        <f t="shared" si="43"/>
        <v>#DIV/0!</v>
      </c>
      <c r="AJ38" s="148" t="e">
        <f t="shared" ref="AJ38:AJ64" si="44">(AA38+AC38)</f>
        <v>#DIV/0!</v>
      </c>
      <c r="AK38" s="147" t="e">
        <f t="shared" ref="AK38:AK64" si="45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40"/>
        <v>3000</v>
      </c>
      <c r="E39" s="26">
        <v>1</v>
      </c>
      <c r="F39" s="26">
        <v>1.1100000000000001</v>
      </c>
      <c r="G39" s="22">
        <f t="shared" si="41"/>
        <v>1.65</v>
      </c>
      <c r="H39" s="24">
        <f t="shared" si="33"/>
        <v>1.1100000000000001</v>
      </c>
      <c r="I39" s="39">
        <f t="shared" si="34"/>
        <v>3330.0000000000005</v>
      </c>
      <c r="J39" s="38">
        <f t="shared" si="35"/>
        <v>3330.0000000000005</v>
      </c>
      <c r="K39" s="40">
        <f t="shared" si="36"/>
        <v>9.3791033577190014E-2</v>
      </c>
      <c r="L39" s="22">
        <f t="shared" si="37"/>
        <v>0.10410804727068093</v>
      </c>
      <c r="M39" s="24">
        <f t="shared" si="38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1</v>
      </c>
      <c r="AG39" s="147">
        <f t="shared" si="42"/>
        <v>3330.0000000000005</v>
      </c>
      <c r="AH39" s="123">
        <f t="shared" si="43"/>
        <v>1</v>
      </c>
      <c r="AI39" s="112">
        <f t="shared" si="43"/>
        <v>3330.0000000000005</v>
      </c>
      <c r="AJ39" s="148">
        <f t="shared" si="44"/>
        <v>0</v>
      </c>
      <c r="AK39" s="147">
        <f t="shared" si="45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40"/>
        <v>6000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7080</v>
      </c>
      <c r="J40" s="38">
        <f t="shared" si="35"/>
        <v>7080</v>
      </c>
      <c r="K40" s="40">
        <f t="shared" si="36"/>
        <v>0.18758206715438003</v>
      </c>
      <c r="L40" s="22">
        <f t="shared" si="37"/>
        <v>0.22134683924216841</v>
      </c>
      <c r="M40" s="24">
        <f t="shared" si="38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1</v>
      </c>
      <c r="AG40" s="147">
        <f t="shared" si="42"/>
        <v>7080</v>
      </c>
      <c r="AH40" s="123">
        <f t="shared" si="43"/>
        <v>1</v>
      </c>
      <c r="AI40" s="112">
        <f t="shared" si="43"/>
        <v>7080</v>
      </c>
      <c r="AJ40" s="148">
        <f t="shared" si="44"/>
        <v>0</v>
      </c>
      <c r="AK40" s="147">
        <f t="shared" si="45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26">
        <v>1</v>
      </c>
      <c r="F41" s="26">
        <v>1.18</v>
      </c>
      <c r="G41" s="22">
        <f t="shared" si="41"/>
        <v>1.65</v>
      </c>
      <c r="H41" s="24">
        <f t="shared" si="33"/>
        <v>1.18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40"/>
        <v>4800</v>
      </c>
      <c r="E42" s="26">
        <v>1</v>
      </c>
      <c r="F42" s="26">
        <v>1.18</v>
      </c>
      <c r="G42" s="22">
        <f t="shared" si="41"/>
        <v>1.65</v>
      </c>
      <c r="H42" s="24">
        <f t="shared" si="33"/>
        <v>1.18</v>
      </c>
      <c r="I42" s="39">
        <f t="shared" si="34"/>
        <v>5664</v>
      </c>
      <c r="J42" s="38">
        <f t="shared" si="35"/>
        <v>5664.0000000000009</v>
      </c>
      <c r="K42" s="40">
        <f t="shared" si="36"/>
        <v>0.15006565372350403</v>
      </c>
      <c r="L42" s="22">
        <f t="shared" si="37"/>
        <v>0.17707747139373475</v>
      </c>
      <c r="M42" s="24">
        <f t="shared" si="38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1416.0000000000002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2832.0000000000005</v>
      </c>
      <c r="AF42" s="122">
        <f t="shared" si="39"/>
        <v>0.25</v>
      </c>
      <c r="AG42" s="147">
        <f t="shared" si="42"/>
        <v>1416.0000000000002</v>
      </c>
      <c r="AH42" s="123">
        <f t="shared" si="43"/>
        <v>1</v>
      </c>
      <c r="AI42" s="112">
        <f t="shared" si="43"/>
        <v>5664.0000000000009</v>
      </c>
      <c r="AJ42" s="148">
        <f t="shared" si="44"/>
        <v>1416.0000000000002</v>
      </c>
      <c r="AK42" s="147">
        <f t="shared" si="45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40"/>
        <v>5400</v>
      </c>
      <c r="E43" s="26">
        <v>1</v>
      </c>
      <c r="F43" s="26">
        <v>1.18</v>
      </c>
      <c r="G43" s="22">
        <f t="shared" si="41"/>
        <v>1.65</v>
      </c>
      <c r="H43" s="24">
        <f t="shared" si="33"/>
        <v>1.18</v>
      </c>
      <c r="I43" s="39">
        <f t="shared" si="34"/>
        <v>6372</v>
      </c>
      <c r="J43" s="38">
        <f t="shared" si="35"/>
        <v>6372</v>
      </c>
      <c r="K43" s="40">
        <f t="shared" si="36"/>
        <v>0.16882386043894204</v>
      </c>
      <c r="L43" s="22">
        <f t="shared" si="37"/>
        <v>0.19921215531795161</v>
      </c>
      <c r="M43" s="24">
        <f t="shared" si="38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1593</v>
      </c>
      <c r="AB43" s="116">
        <v>0.25</v>
      </c>
      <c r="AC43" s="147">
        <f t="shared" si="47"/>
        <v>1593</v>
      </c>
      <c r="AD43" s="116">
        <v>0.25</v>
      </c>
      <c r="AE43" s="147">
        <f t="shared" si="48"/>
        <v>1593</v>
      </c>
      <c r="AF43" s="122">
        <f t="shared" si="39"/>
        <v>0.25</v>
      </c>
      <c r="AG43" s="147">
        <f t="shared" si="42"/>
        <v>1593</v>
      </c>
      <c r="AH43" s="123">
        <f t="shared" si="43"/>
        <v>1</v>
      </c>
      <c r="AI43" s="112">
        <f t="shared" si="43"/>
        <v>6372</v>
      </c>
      <c r="AJ43" s="148">
        <f t="shared" si="44"/>
        <v>3186</v>
      </c>
      <c r="AK43" s="147">
        <f t="shared" si="45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40"/>
        <v>1286</v>
      </c>
      <c r="E44" s="26">
        <v>1</v>
      </c>
      <c r="F44" s="26">
        <v>1</v>
      </c>
      <c r="G44" s="22">
        <f t="shared" si="41"/>
        <v>1.65</v>
      </c>
      <c r="H44" s="24">
        <f t="shared" si="33"/>
        <v>1</v>
      </c>
      <c r="I44" s="39">
        <f t="shared" si="34"/>
        <v>1286</v>
      </c>
      <c r="J44" s="38">
        <f t="shared" si="35"/>
        <v>1286</v>
      </c>
      <c r="K44" s="40">
        <f t="shared" si="36"/>
        <v>4.0205089726755454E-2</v>
      </c>
      <c r="L44" s="22">
        <f t="shared" si="37"/>
        <v>4.0205089726755454E-2</v>
      </c>
      <c r="M44" s="24">
        <f t="shared" si="38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321.5</v>
      </c>
      <c r="AB44" s="116">
        <v>0.25</v>
      </c>
      <c r="AC44" s="147">
        <f t="shared" si="47"/>
        <v>321.5</v>
      </c>
      <c r="AD44" s="116">
        <v>0.25</v>
      </c>
      <c r="AE44" s="147">
        <f t="shared" si="48"/>
        <v>321.5</v>
      </c>
      <c r="AF44" s="122">
        <f t="shared" si="39"/>
        <v>0.25</v>
      </c>
      <c r="AG44" s="147">
        <f t="shared" si="42"/>
        <v>321.5</v>
      </c>
      <c r="AH44" s="123">
        <f t="shared" si="43"/>
        <v>1</v>
      </c>
      <c r="AI44" s="112">
        <f t="shared" si="43"/>
        <v>1286</v>
      </c>
      <c r="AJ44" s="148">
        <f t="shared" si="44"/>
        <v>643</v>
      </c>
      <c r="AK44" s="147">
        <f t="shared" si="45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</v>
      </c>
      <c r="G45" s="22">
        <f t="shared" si="41"/>
        <v>1.65</v>
      </c>
      <c r="H45" s="24">
        <f t="shared" si="33"/>
        <v>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1</v>
      </c>
      <c r="F46" s="26">
        <v>1</v>
      </c>
      <c r="G46" s="22">
        <f t="shared" si="41"/>
        <v>1.65</v>
      </c>
      <c r="H46" s="24">
        <f t="shared" si="33"/>
        <v>1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1</v>
      </c>
      <c r="F47" s="26">
        <v>1</v>
      </c>
      <c r="G47" s="22">
        <f t="shared" si="41"/>
        <v>1.65</v>
      </c>
      <c r="H47" s="24">
        <f t="shared" si="33"/>
        <v>1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41"/>
        <v>1.65</v>
      </c>
      <c r="H48" s="24">
        <f t="shared" si="33"/>
        <v>1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</v>
      </c>
      <c r="G49" s="22">
        <f t="shared" si="41"/>
        <v>1.65</v>
      </c>
      <c r="H49" s="24">
        <f t="shared" si="33"/>
        <v>1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36497</v>
      </c>
      <c r="J65" s="39">
        <f>SUM(J37:J64)</f>
        <v>36497</v>
      </c>
      <c r="K65" s="40">
        <f>SUM(K37:K64)</f>
        <v>0.99999999999999989</v>
      </c>
      <c r="L65" s="22">
        <f>SUM(L37:L64)</f>
        <v>1.1410304508222349</v>
      </c>
      <c r="M65" s="24">
        <f>SUM(M37:M64)</f>
        <v>1.1410304508222346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57">J124*I$83</f>
        <v>13099.933824475605</v>
      </c>
      <c r="K70" s="40">
        <f t="shared" ref="K70:K75" si="58">B70/B$76</f>
        <v>0.29253722218818073</v>
      </c>
      <c r="L70" s="22">
        <f t="shared" ref="L70:L75" si="59">(L124*G$37*F$9/F$7)/B$130</f>
        <v>0.40955211106345296</v>
      </c>
      <c r="M70" s="24">
        <f t="shared" ref="M70:M75" si="60"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57"/>
        <v>9191.4133333333357</v>
      </c>
      <c r="K71" s="40">
        <f t="shared" si="58"/>
        <v>0.24352320807019739</v>
      </c>
      <c r="L71" s="22">
        <f t="shared" si="59"/>
        <v>0.28735738552283296</v>
      </c>
      <c r="M71" s="24">
        <f t="shared" si="60"/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3437.0923098436829</v>
      </c>
      <c r="K72" s="40">
        <f t="shared" si="58"/>
        <v>0.43368973926092663</v>
      </c>
      <c r="L72" s="22">
        <f t="shared" si="59"/>
        <v>0.21590676476920811</v>
      </c>
      <c r="M72" s="24">
        <f t="shared" si="60"/>
        <v>0.10745614674681682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8.225473644719565E-2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23397.066175524393</v>
      </c>
      <c r="J74" s="51">
        <f t="shared" si="57"/>
        <v>10768.560532347377</v>
      </c>
      <c r="K74" s="40">
        <f t="shared" si="58"/>
        <v>0.22072156568498716</v>
      </c>
      <c r="L74" s="22">
        <f t="shared" si="59"/>
        <v>0.22821418946674082</v>
      </c>
      <c r="M74" s="24">
        <f t="shared" si="60"/>
        <v>0.33666480748913202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36497</v>
      </c>
      <c r="J76" s="51">
        <f t="shared" si="57"/>
        <v>36497</v>
      </c>
      <c r="K76" s="40">
        <f>SUM(K70:K75)</f>
        <v>1.2727264716514877</v>
      </c>
      <c r="L76" s="22">
        <f>SUM(L70:L75)</f>
        <v>1.1410304508222349</v>
      </c>
      <c r="M76" s="24">
        <f>SUM(M70:M75)</f>
        <v>1.1410304508222346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57"/>
        <v>0</v>
      </c>
      <c r="K77" s="40"/>
      <c r="L77" s="22">
        <f>-(L131*G$37*F$9/F$7)/B$130</f>
        <v>-7.1450620753624808E-2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61">IF(B37="","",(B37/$B$83))</f>
        <v>1.0560503954363771</v>
      </c>
      <c r="C91" s="60">
        <f t="shared" si="61"/>
        <v>0</v>
      </c>
      <c r="D91" s="24">
        <f>SUM(B91,C91)</f>
        <v>1.0560503954363771</v>
      </c>
      <c r="H91" s="24">
        <f>(E37*F37/G37*F$7/F$9)</f>
        <v>0.67272727272727284</v>
      </c>
      <c r="I91" s="22">
        <f>(D91*H91)</f>
        <v>0.71043390238447202</v>
      </c>
      <c r="J91" s="24">
        <f>IF(I$32&lt;=1+I$131,I91,L91+J$33*(I91-L91))</f>
        <v>0.71043390238447202</v>
      </c>
      <c r="K91" s="22">
        <f>IF(B91="",0,B91)</f>
        <v>1.0560503954363771</v>
      </c>
      <c r="L91" s="22">
        <f>(K91*H91)</f>
        <v>0.71043390238447202</v>
      </c>
      <c r="M91" s="227">
        <f>(J91)</f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Construction cash income -- see Data2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0.67272727272727284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7">
        <f t="shared" ref="M92:M118" si="69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Domestic work cash income -- see Data2</v>
      </c>
      <c r="B93" s="60">
        <f t="shared" si="61"/>
        <v>0.27549140750514189</v>
      </c>
      <c r="C93" s="60">
        <f t="shared" si="61"/>
        <v>0</v>
      </c>
      <c r="D93" s="24">
        <f t="shared" si="63"/>
        <v>0.27549140750514189</v>
      </c>
      <c r="H93" s="24">
        <f t="shared" si="64"/>
        <v>0.67272727272727284</v>
      </c>
      <c r="I93" s="22">
        <f t="shared" si="65"/>
        <v>0.18533058323073184</v>
      </c>
      <c r="J93" s="24">
        <f t="shared" si="66"/>
        <v>0.18533058323073184</v>
      </c>
      <c r="K93" s="22">
        <f t="shared" si="67"/>
        <v>0.27549140750514189</v>
      </c>
      <c r="L93" s="22">
        <f t="shared" si="68"/>
        <v>0.18533058323073184</v>
      </c>
      <c r="M93" s="227">
        <f t="shared" si="6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Formal Employment</v>
      </c>
      <c r="B94" s="60">
        <f t="shared" si="61"/>
        <v>0.55098281501028379</v>
      </c>
      <c r="C94" s="60">
        <f t="shared" si="61"/>
        <v>0</v>
      </c>
      <c r="D94" s="24">
        <f t="shared" si="63"/>
        <v>0.55098281501028379</v>
      </c>
      <c r="H94" s="24">
        <f t="shared" si="64"/>
        <v>0.7151515151515152</v>
      </c>
      <c r="I94" s="22">
        <f t="shared" si="65"/>
        <v>0.39403619497705145</v>
      </c>
      <c r="J94" s="24">
        <f t="shared" si="66"/>
        <v>0.39403619497705145</v>
      </c>
      <c r="K94" s="22">
        <f t="shared" si="67"/>
        <v>0.55098281501028379</v>
      </c>
      <c r="L94" s="22">
        <f t="shared" si="68"/>
        <v>0.39403619497705145</v>
      </c>
      <c r="M94" s="227">
        <f t="shared" si="69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Self-employment -- see Data2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0.7151515151515152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7">
        <f t="shared" si="69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Small business -- see Data2</v>
      </c>
      <c r="B96" s="60">
        <f t="shared" si="61"/>
        <v>0.44078625200822702</v>
      </c>
      <c r="C96" s="60">
        <f t="shared" si="61"/>
        <v>0</v>
      </c>
      <c r="D96" s="24">
        <f t="shared" si="63"/>
        <v>0.44078625200822702</v>
      </c>
      <c r="H96" s="24">
        <f t="shared" si="64"/>
        <v>0.7151515151515152</v>
      </c>
      <c r="I96" s="22">
        <f t="shared" si="65"/>
        <v>0.31522895598164119</v>
      </c>
      <c r="J96" s="24">
        <f t="shared" si="66"/>
        <v>0.31522895598164119</v>
      </c>
      <c r="K96" s="22">
        <f t="shared" si="67"/>
        <v>0.44078625200822702</v>
      </c>
      <c r="L96" s="22">
        <f t="shared" si="68"/>
        <v>0.31522895598164119</v>
      </c>
      <c r="M96" s="227">
        <f t="shared" si="69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Social development -- see Data2</v>
      </c>
      <c r="B97" s="60">
        <f t="shared" si="61"/>
        <v>0.49588453350925538</v>
      </c>
      <c r="C97" s="60">
        <f t="shared" si="61"/>
        <v>0</v>
      </c>
      <c r="D97" s="24">
        <f t="shared" si="63"/>
        <v>0.49588453350925538</v>
      </c>
      <c r="H97" s="24">
        <f t="shared" si="64"/>
        <v>0.7151515151515152</v>
      </c>
      <c r="I97" s="22">
        <f t="shared" si="65"/>
        <v>0.35463257547934629</v>
      </c>
      <c r="J97" s="24">
        <f t="shared" si="66"/>
        <v>0.35463257547934629</v>
      </c>
      <c r="K97" s="22">
        <f t="shared" si="67"/>
        <v>0.49588453350925538</v>
      </c>
      <c r="L97" s="22">
        <f t="shared" si="68"/>
        <v>0.35463257547934629</v>
      </c>
      <c r="M97" s="227">
        <f t="shared" si="6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Public works -- see Data2</v>
      </c>
      <c r="B98" s="60">
        <f t="shared" si="61"/>
        <v>0.11809398335053749</v>
      </c>
      <c r="C98" s="60">
        <f t="shared" si="61"/>
        <v>0</v>
      </c>
      <c r="D98" s="24">
        <f t="shared" si="63"/>
        <v>0.11809398335053749</v>
      </c>
      <c r="H98" s="24">
        <f t="shared" si="64"/>
        <v>0.60606060606060608</v>
      </c>
      <c r="I98" s="22">
        <f t="shared" si="65"/>
        <v>7.1572111121537871E-2</v>
      </c>
      <c r="J98" s="24">
        <f t="shared" si="66"/>
        <v>7.1572111121537871E-2</v>
      </c>
      <c r="K98" s="22">
        <f t="shared" si="67"/>
        <v>0.11809398335053749</v>
      </c>
      <c r="L98" s="22">
        <f t="shared" si="68"/>
        <v>7.1572111121537871E-2</v>
      </c>
      <c r="M98" s="227">
        <f t="shared" si="6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/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0.60606060606060608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7">
        <f t="shared" si="6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/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0.60606060606060608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/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0.60606060606060608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/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0.60606060606060608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7">
        <f t="shared" si="6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/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0.60606060606060608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7">
        <f t="shared" si="6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2.0312343231747807</v>
      </c>
      <c r="J119" s="24">
        <f>SUM(J91:J118)</f>
        <v>2.0312343231747807</v>
      </c>
      <c r="K119" s="22">
        <f>SUM(K91:K118)</f>
        <v>2.9372893868198227</v>
      </c>
      <c r="L119" s="22">
        <f>SUM(L91:L118)</f>
        <v>2.0312343231747807</v>
      </c>
      <c r="M119" s="57">
        <f>(J119)</f>
        <v>2.0312343231747807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71">(B124)</f>
        <v>0.85926647798309552</v>
      </c>
      <c r="L124" s="29">
        <f>IF(SUMPRODUCT($B$124:$B124,$H$124:$H124)&lt;L$119,($B124*$H124),L$119)</f>
        <v>0.72907458737959618</v>
      </c>
      <c r="M124" s="240">
        <f t="shared" si="70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71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70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0.19129078750786577</v>
      </c>
      <c r="K126" s="29">
        <f t="shared" si="7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0.38435190830254484</v>
      </c>
      <c r="M126" s="240">
        <f t="shared" si="70"/>
        <v>0.19129078750786577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1.3021597357951844</v>
      </c>
      <c r="J128" s="228">
        <f>(J30)</f>
        <v>0.59932240360822209</v>
      </c>
      <c r="K128" s="29">
        <f t="shared" si="71"/>
        <v>0.64832311232876716</v>
      </c>
      <c r="L128" s="29">
        <f>IF(L124=L119,0,(L119-L124)/(B119-B124)*K128)</f>
        <v>0.40626128281354307</v>
      </c>
      <c r="M128" s="240">
        <f t="shared" si="70"/>
        <v>0.59932240360822209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2.0312343231747807</v>
      </c>
      <c r="J130" s="228">
        <f>(J119)</f>
        <v>2.0312343231747807</v>
      </c>
      <c r="K130" s="29">
        <f t="shared" si="71"/>
        <v>2.9372893868198227</v>
      </c>
      <c r="L130" s="29">
        <f>(L119)</f>
        <v>2.0312343231747807</v>
      </c>
      <c r="M130" s="240">
        <f t="shared" si="70"/>
        <v>2.0312343231747807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0.12719463637655171</v>
      </c>
      <c r="M131" s="237">
        <f>IF(I131&lt;SUM(M126:M127),0,I131-(SUM(M126:M127)))</f>
        <v>0.32025575717123078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48" priority="84" operator="equal">
      <formula>16</formula>
    </cfRule>
    <cfRule type="cellIs" dxfId="247" priority="85" operator="equal">
      <formula>15</formula>
    </cfRule>
    <cfRule type="cellIs" dxfId="246" priority="86" operator="equal">
      <formula>14</formula>
    </cfRule>
    <cfRule type="cellIs" dxfId="245" priority="87" operator="equal">
      <formula>13</formula>
    </cfRule>
    <cfRule type="cellIs" dxfId="244" priority="88" operator="equal">
      <formula>12</formula>
    </cfRule>
    <cfRule type="cellIs" dxfId="243" priority="89" operator="equal">
      <formula>11</formula>
    </cfRule>
    <cfRule type="cellIs" dxfId="242" priority="90" operator="equal">
      <formula>10</formula>
    </cfRule>
    <cfRule type="cellIs" dxfId="241" priority="91" operator="equal">
      <formula>9</formula>
    </cfRule>
    <cfRule type="cellIs" dxfId="240" priority="92" operator="equal">
      <formula>8</formula>
    </cfRule>
    <cfRule type="cellIs" dxfId="239" priority="93" operator="equal">
      <formula>7</formula>
    </cfRule>
    <cfRule type="cellIs" dxfId="238" priority="94" operator="equal">
      <formula>6</formula>
    </cfRule>
    <cfRule type="cellIs" dxfId="237" priority="95" operator="equal">
      <formula>5</formula>
    </cfRule>
    <cfRule type="cellIs" dxfId="236" priority="96" operator="equal">
      <formula>4</formula>
    </cfRule>
    <cfRule type="cellIs" dxfId="235" priority="97" operator="equal">
      <formula>3</formula>
    </cfRule>
    <cfRule type="cellIs" dxfId="234" priority="98" operator="equal">
      <formula>2</formula>
    </cfRule>
    <cfRule type="cellIs" dxfId="233" priority="99" operator="equal">
      <formula>1</formula>
    </cfRule>
  </conditionalFormatting>
  <conditionalFormatting sqref="N91:N104">
    <cfRule type="cellIs" dxfId="232" priority="36" operator="equal">
      <formula>16</formula>
    </cfRule>
    <cfRule type="cellIs" dxfId="231" priority="37" operator="equal">
      <formula>15</formula>
    </cfRule>
    <cfRule type="cellIs" dxfId="230" priority="38" operator="equal">
      <formula>14</formula>
    </cfRule>
    <cfRule type="cellIs" dxfId="229" priority="39" operator="equal">
      <formula>13</formula>
    </cfRule>
    <cfRule type="cellIs" dxfId="228" priority="40" operator="equal">
      <formula>12</formula>
    </cfRule>
    <cfRule type="cellIs" dxfId="227" priority="41" operator="equal">
      <formula>11</formula>
    </cfRule>
    <cfRule type="cellIs" dxfId="226" priority="42" operator="equal">
      <formula>10</formula>
    </cfRule>
    <cfRule type="cellIs" dxfId="225" priority="43" operator="equal">
      <formula>9</formula>
    </cfRule>
    <cfRule type="cellIs" dxfId="224" priority="44" operator="equal">
      <formula>8</formula>
    </cfRule>
    <cfRule type="cellIs" dxfId="223" priority="45" operator="equal">
      <formula>7</formula>
    </cfRule>
    <cfRule type="cellIs" dxfId="222" priority="46" operator="equal">
      <formula>6</formula>
    </cfRule>
    <cfRule type="cellIs" dxfId="221" priority="47" operator="equal">
      <formula>5</formula>
    </cfRule>
    <cfRule type="cellIs" dxfId="220" priority="48" operator="equal">
      <formula>4</formula>
    </cfRule>
    <cfRule type="cellIs" dxfId="219" priority="49" operator="equal">
      <formula>3</formula>
    </cfRule>
    <cfRule type="cellIs" dxfId="218" priority="50" operator="equal">
      <formula>2</formula>
    </cfRule>
    <cfRule type="cellIs" dxfId="217" priority="51" operator="equal">
      <formula>1</formula>
    </cfRule>
  </conditionalFormatting>
  <conditionalFormatting sqref="N105:N118">
    <cfRule type="cellIs" dxfId="216" priority="20" operator="equal">
      <formula>16</formula>
    </cfRule>
    <cfRule type="cellIs" dxfId="215" priority="21" operator="equal">
      <formula>15</formula>
    </cfRule>
    <cfRule type="cellIs" dxfId="214" priority="22" operator="equal">
      <formula>14</formula>
    </cfRule>
    <cfRule type="cellIs" dxfId="213" priority="23" operator="equal">
      <formula>13</formula>
    </cfRule>
    <cfRule type="cellIs" dxfId="212" priority="24" operator="equal">
      <formula>12</formula>
    </cfRule>
    <cfRule type="cellIs" dxfId="211" priority="25" operator="equal">
      <formula>11</formula>
    </cfRule>
    <cfRule type="cellIs" dxfId="210" priority="26" operator="equal">
      <formula>10</formula>
    </cfRule>
    <cfRule type="cellIs" dxfId="209" priority="27" operator="equal">
      <formula>9</formula>
    </cfRule>
    <cfRule type="cellIs" dxfId="208" priority="28" operator="equal">
      <formula>8</formula>
    </cfRule>
    <cfRule type="cellIs" dxfId="207" priority="29" operator="equal">
      <formula>7</formula>
    </cfRule>
    <cfRule type="cellIs" dxfId="206" priority="30" operator="equal">
      <formula>6</formula>
    </cfRule>
    <cfRule type="cellIs" dxfId="205" priority="31" operator="equal">
      <formula>5</formula>
    </cfRule>
    <cfRule type="cellIs" dxfId="204" priority="32" operator="equal">
      <formula>4</formula>
    </cfRule>
    <cfRule type="cellIs" dxfId="203" priority="33" operator="equal">
      <formula>3</formula>
    </cfRule>
    <cfRule type="cellIs" dxfId="202" priority="34" operator="equal">
      <formula>2</formula>
    </cfRule>
    <cfRule type="cellIs" dxfId="201" priority="35" operator="equal">
      <formula>1</formula>
    </cfRule>
  </conditionalFormatting>
  <conditionalFormatting sqref="R31:T31">
    <cfRule type="cellIs" dxfId="200" priority="19" operator="greaterThan">
      <formula>0</formula>
    </cfRule>
  </conditionalFormatting>
  <conditionalFormatting sqref="R32:T32">
    <cfRule type="cellIs" dxfId="199" priority="18" operator="greaterThan">
      <formula>0</formula>
    </cfRule>
  </conditionalFormatting>
  <conditionalFormatting sqref="R30:T30">
    <cfRule type="cellIs" dxfId="198" priority="17" operator="greaterThan">
      <formula>0</formula>
    </cfRule>
  </conditionalFormatting>
  <conditionalFormatting sqref="N6:N26">
    <cfRule type="cellIs" dxfId="197" priority="1" operator="equal">
      <formula>16</formula>
    </cfRule>
    <cfRule type="cellIs" dxfId="196" priority="2" operator="equal">
      <formula>15</formula>
    </cfRule>
    <cfRule type="cellIs" dxfId="195" priority="3" operator="equal">
      <formula>14</formula>
    </cfRule>
    <cfRule type="cellIs" dxfId="194" priority="4" operator="equal">
      <formula>13</formula>
    </cfRule>
    <cfRule type="cellIs" dxfId="193" priority="5" operator="equal">
      <formula>12</formula>
    </cfRule>
    <cfRule type="cellIs" dxfId="192" priority="6" operator="equal">
      <formula>11</formula>
    </cfRule>
    <cfRule type="cellIs" dxfId="191" priority="7" operator="equal">
      <formula>10</formula>
    </cfRule>
    <cfRule type="cellIs" dxfId="190" priority="8" operator="equal">
      <formula>9</formula>
    </cfRule>
    <cfRule type="cellIs" dxfId="189" priority="9" operator="equal">
      <formula>8</formula>
    </cfRule>
    <cfRule type="cellIs" dxfId="188" priority="10" operator="equal">
      <formula>7</formula>
    </cfRule>
    <cfRule type="cellIs" dxfId="187" priority="11" operator="equal">
      <formula>6</formula>
    </cfRule>
    <cfRule type="cellIs" dxfId="186" priority="12" operator="equal">
      <formula>5</formula>
    </cfRule>
    <cfRule type="cellIs" dxfId="185" priority="13" operator="equal">
      <formula>4</formula>
    </cfRule>
    <cfRule type="cellIs" dxfId="184" priority="14" operator="equal">
      <formula>3</formula>
    </cfRule>
    <cfRule type="cellIs" dxfId="183" priority="15" operator="equal">
      <formula>2</formula>
    </cfRule>
    <cfRule type="cellIs" dxfId="18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>$M27*AB27*4</f>
        <v>2.4762194954277807E-2</v>
      </c>
      <c r="AD27" s="156">
        <f>temporary!AD27</f>
        <v>0.25</v>
      </c>
      <c r="AE27" s="121">
        <f>$M27*AD27*4</f>
        <v>2.4762194954277807E-2</v>
      </c>
      <c r="AF27" s="122">
        <f t="shared" si="8"/>
        <v>0.25</v>
      </c>
      <c r="AG27" s="121">
        <f t="shared" si="9"/>
        <v>2.4762194954277807E-2</v>
      </c>
      <c r="AH27" s="123">
        <f t="shared" si="10"/>
        <v>1</v>
      </c>
      <c r="AI27" s="183">
        <f t="shared" si="11"/>
        <v>2.4762194954277807E-2</v>
      </c>
      <c r="AJ27" s="120">
        <f t="shared" si="12"/>
        <v>2.4762194954277807E-2</v>
      </c>
      <c r="AK27" s="119">
        <f t="shared" si="13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7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>$M29*AB29*4</f>
        <v>0.3736344895999642</v>
      </c>
      <c r="AD29" s="156">
        <f>temporary!AD29</f>
        <v>0.25</v>
      </c>
      <c r="AE29" s="121">
        <f>$M29*AD29*4</f>
        <v>0.3736344895999642</v>
      </c>
      <c r="AF29" s="122">
        <f t="shared" si="8"/>
        <v>0.25</v>
      </c>
      <c r="AG29" s="121">
        <f t="shared" si="9"/>
        <v>0.3736344895999642</v>
      </c>
      <c r="AH29" s="123">
        <f t="shared" si="10"/>
        <v>1</v>
      </c>
      <c r="AI29" s="183">
        <f t="shared" si="11"/>
        <v>0.3736344895999642</v>
      </c>
      <c r="AJ29" s="120">
        <f t="shared" si="12"/>
        <v>0.3736344895999642</v>
      </c>
      <c r="AK29" s="119">
        <f t="shared" si="13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35400</v>
      </c>
      <c r="J40" s="38">
        <f t="shared" si="29"/>
        <v>35400</v>
      </c>
      <c r="K40" s="40">
        <f t="shared" si="30"/>
        <v>0.52083333333333337</v>
      </c>
      <c r="L40" s="22">
        <f t="shared" si="31"/>
        <v>0.61458333333333337</v>
      </c>
      <c r="M40" s="24">
        <f t="shared" si="32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35400</v>
      </c>
      <c r="AH40" s="123">
        <f t="shared" si="34"/>
        <v>1</v>
      </c>
      <c r="AI40" s="112">
        <f t="shared" si="34"/>
        <v>35400</v>
      </c>
      <c r="AJ40" s="148">
        <f t="shared" si="35"/>
        <v>0</v>
      </c>
      <c r="AK40" s="147">
        <f t="shared" si="36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32568</v>
      </c>
      <c r="J42" s="38">
        <f t="shared" si="29"/>
        <v>32568</v>
      </c>
      <c r="K42" s="40">
        <f t="shared" si="30"/>
        <v>0.47916666666666669</v>
      </c>
      <c r="L42" s="22">
        <f t="shared" si="31"/>
        <v>0.56541666666666668</v>
      </c>
      <c r="M42" s="24">
        <f t="shared" si="32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37"/>
        <v>8142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16284</v>
      </c>
      <c r="AF42" s="122">
        <f t="shared" si="26"/>
        <v>0.25</v>
      </c>
      <c r="AG42" s="147">
        <f t="shared" si="33"/>
        <v>8142</v>
      </c>
      <c r="AH42" s="123">
        <f t="shared" si="34"/>
        <v>1</v>
      </c>
      <c r="AI42" s="112">
        <f t="shared" si="34"/>
        <v>32568</v>
      </c>
      <c r="AJ42" s="148">
        <f t="shared" si="35"/>
        <v>8142</v>
      </c>
      <c r="AK42" s="147">
        <f t="shared" si="36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0</v>
      </c>
      <c r="AB43" s="156">
        <f>temporary!AB43</f>
        <v>0.25</v>
      </c>
      <c r="AC43" s="147">
        <f t="shared" si="38"/>
        <v>0</v>
      </c>
      <c r="AD43" s="156">
        <f>temporary!AD43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1">J124*I$83</f>
        <v>13099.933824475609</v>
      </c>
      <c r="K70" s="40">
        <f t="shared" ref="K70:K75" si="42">B70/B$76</f>
        <v>0.16244957619637412</v>
      </c>
      <c r="L70" s="22">
        <f t="shared" ref="L70:L75" si="43">(L124*G$37*F$9/F$7)/B$130</f>
        <v>0.22742940667492381</v>
      </c>
      <c r="M70" s="24">
        <f t="shared" ref="M70:M75" si="44"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0.13523148148148148</v>
      </c>
      <c r="L71" s="22">
        <f t="shared" si="43"/>
        <v>0.15957314814814819</v>
      </c>
      <c r="M71" s="24">
        <f t="shared" si="44"/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16368.96</v>
      </c>
      <c r="K72" s="40">
        <f t="shared" si="42"/>
        <v>0.24083333333333334</v>
      </c>
      <c r="L72" s="22">
        <f t="shared" si="43"/>
        <v>0.28418333333333334</v>
      </c>
      <c r="M72" s="24">
        <f t="shared" si="44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6018</v>
      </c>
      <c r="K73" s="40">
        <f t="shared" si="42"/>
        <v>8.8541666666666671E-2</v>
      </c>
      <c r="L73" s="22">
        <f t="shared" si="43"/>
        <v>0.10447916666666666</v>
      </c>
      <c r="M73" s="24">
        <f t="shared" si="44"/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1"/>
        <v>10809.543711089867</v>
      </c>
      <c r="K74" s="40">
        <f t="shared" si="42"/>
        <v>0.1239504502964893</v>
      </c>
      <c r="L74" s="22">
        <f t="shared" si="43"/>
        <v>0.14097247237441615</v>
      </c>
      <c r="M74" s="24">
        <f t="shared" si="44"/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1"/>
        <v>12480.149131101189</v>
      </c>
      <c r="K75" s="40">
        <f t="shared" si="42"/>
        <v>0.24899349202565513</v>
      </c>
      <c r="L75" s="22">
        <f t="shared" si="43"/>
        <v>0.26336247280251202</v>
      </c>
      <c r="M75" s="24">
        <f t="shared" si="44"/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1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5">(B37/$B$83)</f>
        <v>0</v>
      </c>
      <c r="C91" s="75">
        <f t="shared" si="45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Construction cash income -- see Data2</v>
      </c>
      <c r="B92" s="75">
        <f t="shared" si="45"/>
        <v>0</v>
      </c>
      <c r="C92" s="75">
        <f t="shared" si="45"/>
        <v>0</v>
      </c>
      <c r="D92" s="24">
        <f t="shared" ref="D92:D118" si="47">(B92+C92)</f>
        <v>0</v>
      </c>
      <c r="H92" s="24">
        <f t="shared" ref="H92:H118" si="48">(E38*F38/G38*F$7/F$9)</f>
        <v>0.67272727272727284</v>
      </c>
      <c r="I92" s="22">
        <f t="shared" ref="I92:I118" si="49">(D92*H92)</f>
        <v>0</v>
      </c>
      <c r="J92" s="24">
        <f t="shared" ref="J92:J118" si="50">IF(I$32&lt;=1+I$131,I92,L92+J$33*(I92-L92))</f>
        <v>0</v>
      </c>
      <c r="K92" s="22">
        <f t="shared" ref="K92:K118" si="51">(B92)</f>
        <v>0</v>
      </c>
      <c r="L92" s="22">
        <f t="shared" ref="L92:L118" si="52">(K92*H92)</f>
        <v>0</v>
      </c>
      <c r="M92" s="227">
        <f t="shared" ref="M92:M118" si="5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0.67272727272727284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7">
        <f t="shared" si="5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5"/>
        <v>2.7549140750514187</v>
      </c>
      <c r="C94" s="75">
        <f t="shared" si="45"/>
        <v>0</v>
      </c>
      <c r="D94" s="24">
        <f t="shared" si="47"/>
        <v>2.7549140750514187</v>
      </c>
      <c r="H94" s="24">
        <f t="shared" si="48"/>
        <v>0.7151515151515152</v>
      </c>
      <c r="I94" s="22">
        <f t="shared" si="49"/>
        <v>1.9701809748852572</v>
      </c>
      <c r="J94" s="24">
        <f t="shared" si="50"/>
        <v>1.9701809748852572</v>
      </c>
      <c r="K94" s="22">
        <f t="shared" si="51"/>
        <v>2.7549140750514187</v>
      </c>
      <c r="L94" s="22">
        <f t="shared" si="52"/>
        <v>1.9701809748852572</v>
      </c>
      <c r="M94" s="227">
        <f t="shared" si="53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0.7151515151515152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7">
        <f t="shared" si="5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5"/>
        <v>2.5345209490473053</v>
      </c>
      <c r="C96" s="75">
        <f t="shared" si="45"/>
        <v>0</v>
      </c>
      <c r="D96" s="24">
        <f t="shared" si="47"/>
        <v>2.5345209490473053</v>
      </c>
      <c r="H96" s="24">
        <f t="shared" si="48"/>
        <v>0.7151515151515152</v>
      </c>
      <c r="I96" s="22">
        <f t="shared" si="49"/>
        <v>1.8125664968944366</v>
      </c>
      <c r="J96" s="24">
        <f t="shared" si="50"/>
        <v>1.8125664968944366</v>
      </c>
      <c r="K96" s="22">
        <f t="shared" si="51"/>
        <v>2.5345209490473053</v>
      </c>
      <c r="L96" s="22">
        <f t="shared" si="52"/>
        <v>1.8125664968944366</v>
      </c>
      <c r="M96" s="227">
        <f t="shared" si="53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0.7151515151515152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7">
        <f t="shared" si="5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0.60606060606060608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7">
        <f t="shared" si="5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0.60606060606060608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7">
        <f t="shared" si="5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0.60606060606060608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7">
        <f t="shared" si="5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0.60606060606060608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7">
        <f t="shared" si="5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0.60606060606060608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7">
        <f t="shared" si="5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5"/>
        <v>0</v>
      </c>
      <c r="C103" s="75">
        <f t="shared" si="45"/>
        <v>0</v>
      </c>
      <c r="D103" s="24">
        <f t="shared" si="47"/>
        <v>0</v>
      </c>
      <c r="H103" s="24">
        <f t="shared" si="48"/>
        <v>0.60606060606060608</v>
      </c>
      <c r="I103" s="22">
        <f t="shared" si="49"/>
        <v>0</v>
      </c>
      <c r="J103" s="24">
        <f t="shared" si="50"/>
        <v>0</v>
      </c>
      <c r="K103" s="22">
        <f t="shared" si="51"/>
        <v>0</v>
      </c>
      <c r="L103" s="22">
        <f t="shared" si="52"/>
        <v>0</v>
      </c>
      <c r="M103" s="227">
        <f t="shared" si="5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7">
        <f t="shared" si="5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7">
        <f t="shared" si="5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>(J119)</f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 t="shared" ref="K124:K130" si="55">(B124)</f>
        <v>0.85926647798309574</v>
      </c>
      <c r="L124" s="29">
        <f>IF(SUMPRODUCT($B$124:$B124,$H$124:$H124)&lt;L$119,($B124*$H124),L$119)</f>
        <v>0.72907458737959641</v>
      </c>
      <c r="M124" s="57">
        <f t="shared" si="54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si="55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55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>(J126)</f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 t="shared" si="55"/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54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 t="shared" si="55"/>
        <v>0.65562785305105853</v>
      </c>
      <c r="L128" s="22">
        <f>IF(L124=L119,0,(L119-L124)/(B119-B124)*K128)</f>
        <v>0.4519180198854707</v>
      </c>
      <c r="M128" s="57">
        <f t="shared" si="54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 t="shared" si="55"/>
        <v>1.3170348974931465</v>
      </c>
      <c r="L129" s="60">
        <f>IF(SUM(L124:L128)&gt;L130,0,L130-SUM(L124:L128))</f>
        <v>0.84426587131809372</v>
      </c>
      <c r="M129" s="57">
        <f t="shared" si="54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 t="shared" si="55"/>
        <v>5.289435024098724</v>
      </c>
      <c r="L130" s="22">
        <f>(L119)</f>
        <v>3.7827474717796941</v>
      </c>
      <c r="M130" s="57">
        <f t="shared" si="54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81" priority="164" operator="equal">
      <formula>16</formula>
    </cfRule>
    <cfRule type="cellIs" dxfId="180" priority="165" operator="equal">
      <formula>15</formula>
    </cfRule>
    <cfRule type="cellIs" dxfId="179" priority="166" operator="equal">
      <formula>14</formula>
    </cfRule>
    <cfRule type="cellIs" dxfId="178" priority="167" operator="equal">
      <formula>13</formula>
    </cfRule>
    <cfRule type="cellIs" dxfId="177" priority="168" operator="equal">
      <formula>12</formula>
    </cfRule>
    <cfRule type="cellIs" dxfId="176" priority="169" operator="equal">
      <formula>11</formula>
    </cfRule>
    <cfRule type="cellIs" dxfId="175" priority="170" operator="equal">
      <formula>10</formula>
    </cfRule>
    <cfRule type="cellIs" dxfId="174" priority="171" operator="equal">
      <formula>9</formula>
    </cfRule>
    <cfRule type="cellIs" dxfId="173" priority="172" operator="equal">
      <formula>8</formula>
    </cfRule>
    <cfRule type="cellIs" dxfId="172" priority="173" operator="equal">
      <formula>7</formula>
    </cfRule>
    <cfRule type="cellIs" dxfId="171" priority="174" operator="equal">
      <formula>6</formula>
    </cfRule>
    <cfRule type="cellIs" dxfId="170" priority="175" operator="equal">
      <formula>5</formula>
    </cfRule>
    <cfRule type="cellIs" dxfId="169" priority="176" operator="equal">
      <formula>4</formula>
    </cfRule>
    <cfRule type="cellIs" dxfId="168" priority="177" operator="equal">
      <formula>3</formula>
    </cfRule>
    <cfRule type="cellIs" dxfId="167" priority="178" operator="equal">
      <formula>2</formula>
    </cfRule>
    <cfRule type="cellIs" dxfId="166" priority="179" operator="equal">
      <formula>1</formula>
    </cfRule>
  </conditionalFormatting>
  <conditionalFormatting sqref="N29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7:N28">
    <cfRule type="cellIs" dxfId="149" priority="84" operator="equal">
      <formula>16</formula>
    </cfRule>
    <cfRule type="cellIs" dxfId="148" priority="85" operator="equal">
      <formula>15</formula>
    </cfRule>
    <cfRule type="cellIs" dxfId="147" priority="86" operator="equal">
      <formula>14</formula>
    </cfRule>
    <cfRule type="cellIs" dxfId="146" priority="87" operator="equal">
      <formula>13</formula>
    </cfRule>
    <cfRule type="cellIs" dxfId="145" priority="88" operator="equal">
      <formula>12</formula>
    </cfRule>
    <cfRule type="cellIs" dxfId="144" priority="89" operator="equal">
      <formula>11</formula>
    </cfRule>
    <cfRule type="cellIs" dxfId="143" priority="90" operator="equal">
      <formula>10</formula>
    </cfRule>
    <cfRule type="cellIs" dxfId="142" priority="91" operator="equal">
      <formula>9</formula>
    </cfRule>
    <cfRule type="cellIs" dxfId="141" priority="92" operator="equal">
      <formula>8</formula>
    </cfRule>
    <cfRule type="cellIs" dxfId="140" priority="93" operator="equal">
      <formula>7</formula>
    </cfRule>
    <cfRule type="cellIs" dxfId="139" priority="94" operator="equal">
      <formula>6</formula>
    </cfRule>
    <cfRule type="cellIs" dxfId="138" priority="95" operator="equal">
      <formula>5</formula>
    </cfRule>
    <cfRule type="cellIs" dxfId="137" priority="96" operator="equal">
      <formula>4</formula>
    </cfRule>
    <cfRule type="cellIs" dxfId="136" priority="97" operator="equal">
      <formula>3</formula>
    </cfRule>
    <cfRule type="cellIs" dxfId="135" priority="98" operator="equal">
      <formula>2</formula>
    </cfRule>
    <cfRule type="cellIs" dxfId="134" priority="99" operator="equal">
      <formula>1</formula>
    </cfRule>
  </conditionalFormatting>
  <conditionalFormatting sqref="R31:T31">
    <cfRule type="cellIs" dxfId="133" priority="51" operator="greaterThan">
      <formula>0</formula>
    </cfRule>
  </conditionalFormatting>
  <conditionalFormatting sqref="R32:T32">
    <cfRule type="cellIs" dxfId="132" priority="50" operator="greaterThan">
      <formula>0</formula>
    </cfRule>
  </conditionalFormatting>
  <conditionalFormatting sqref="R30:T30">
    <cfRule type="cellIs" dxfId="131" priority="49" operator="greaterThan">
      <formula>0</formula>
    </cfRule>
  </conditionalFormatting>
  <conditionalFormatting sqref="N91:N104">
    <cfRule type="cellIs" dxfId="130" priority="33" operator="equal">
      <formula>16</formula>
    </cfRule>
    <cfRule type="cellIs" dxfId="129" priority="34" operator="equal">
      <formula>15</formula>
    </cfRule>
    <cfRule type="cellIs" dxfId="128" priority="35" operator="equal">
      <formula>14</formula>
    </cfRule>
    <cfRule type="cellIs" dxfId="127" priority="36" operator="equal">
      <formula>13</formula>
    </cfRule>
    <cfRule type="cellIs" dxfId="126" priority="37" operator="equal">
      <formula>12</formula>
    </cfRule>
    <cfRule type="cellIs" dxfId="125" priority="38" operator="equal">
      <formula>11</formula>
    </cfRule>
    <cfRule type="cellIs" dxfId="124" priority="39" operator="equal">
      <formula>10</formula>
    </cfRule>
    <cfRule type="cellIs" dxfId="123" priority="40" operator="equal">
      <formula>9</formula>
    </cfRule>
    <cfRule type="cellIs" dxfId="122" priority="41" operator="equal">
      <formula>8</formula>
    </cfRule>
    <cfRule type="cellIs" dxfId="121" priority="42" operator="equal">
      <formula>7</formula>
    </cfRule>
    <cfRule type="cellIs" dxfId="120" priority="43" operator="equal">
      <formula>6</formula>
    </cfRule>
    <cfRule type="cellIs" dxfId="119" priority="44" operator="equal">
      <formula>5</formula>
    </cfRule>
    <cfRule type="cellIs" dxfId="118" priority="45" operator="equal">
      <formula>4</formula>
    </cfRule>
    <cfRule type="cellIs" dxfId="117" priority="46" operator="equal">
      <formula>3</formula>
    </cfRule>
    <cfRule type="cellIs" dxfId="116" priority="47" operator="equal">
      <formula>2</formula>
    </cfRule>
    <cfRule type="cellIs" dxfId="115" priority="48" operator="equal">
      <formula>1</formula>
    </cfRule>
  </conditionalFormatting>
  <conditionalFormatting sqref="N105:N118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6:N26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>$M27*AB27*4</f>
        <v>0</v>
      </c>
      <c r="AD27" s="156">
        <f>temporary!AD27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7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>$M29*AB29*4</f>
        <v>0.22463677394199713</v>
      </c>
      <c r="AD29" s="156">
        <f>temporary!AD29</f>
        <v>0.25</v>
      </c>
      <c r="AE29" s="121">
        <f>$M29*AD29*4</f>
        <v>0.22463677394199713</v>
      </c>
      <c r="AF29" s="122">
        <f t="shared" si="8"/>
        <v>0.25</v>
      </c>
      <c r="AG29" s="121">
        <f t="shared" si="9"/>
        <v>0.22463677394199713</v>
      </c>
      <c r="AH29" s="123">
        <f t="shared" si="10"/>
        <v>1</v>
      </c>
      <c r="AI29" s="183">
        <f t="shared" si="11"/>
        <v>0.22463677394199713</v>
      </c>
      <c r="AJ29" s="120">
        <f t="shared" si="12"/>
        <v>0.22463677394199713</v>
      </c>
      <c r="AK29" s="119">
        <f t="shared" si="13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7"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>(E71*F71)</f>
        <v>1.18</v>
      </c>
      <c r="I71" s="39">
        <f>I125*I$83</f>
        <v>0</v>
      </c>
      <c r="J71" s="51">
        <f t="shared" si="47"/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7"/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7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7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 t="shared" si="47"/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8">(B37/$B$83)</f>
        <v>0</v>
      </c>
      <c r="C91" s="75">
        <f t="shared" si="48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Construction cash income -- see Data2</v>
      </c>
      <c r="B92" s="75">
        <f t="shared" si="48"/>
        <v>0</v>
      </c>
      <c r="C92" s="75">
        <f t="shared" si="48"/>
        <v>0</v>
      </c>
      <c r="D92" s="24">
        <f t="shared" ref="D92:D118" si="50">(B92+C92)</f>
        <v>0</v>
      </c>
      <c r="H92" s="24">
        <f t="shared" ref="H92:H118" si="51">(E38*F38/G38*F$7/F$9)</f>
        <v>0.67272727272727284</v>
      </c>
      <c r="I92" s="22">
        <f t="shared" ref="I92:I118" si="52">(D92*H92)</f>
        <v>0</v>
      </c>
      <c r="J92" s="24">
        <f t="shared" ref="J92:J118" si="53">IF(I$32&lt;=1+I$131,I92,L92+J$33*(I92-L92))</f>
        <v>0</v>
      </c>
      <c r="K92" s="22">
        <f t="shared" ref="K92:K118" si="54">(B92)</f>
        <v>0</v>
      </c>
      <c r="L92" s="22">
        <f t="shared" ref="L92:L118" si="55">(K92*H92)</f>
        <v>0</v>
      </c>
      <c r="M92" s="227">
        <f t="shared" ref="M92:M118" si="56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Domestic work cash income -- see Data2</v>
      </c>
      <c r="B93" s="75">
        <f t="shared" si="48"/>
        <v>0</v>
      </c>
      <c r="C93" s="75">
        <f t="shared" si="48"/>
        <v>0</v>
      </c>
      <c r="D93" s="24">
        <f t="shared" si="50"/>
        <v>0</v>
      </c>
      <c r="H93" s="24">
        <f t="shared" si="51"/>
        <v>0.67272727272727284</v>
      </c>
      <c r="I93" s="22">
        <f t="shared" si="52"/>
        <v>0</v>
      </c>
      <c r="J93" s="24">
        <f t="shared" si="53"/>
        <v>0</v>
      </c>
      <c r="K93" s="22">
        <f t="shared" si="54"/>
        <v>0</v>
      </c>
      <c r="L93" s="22">
        <f t="shared" si="55"/>
        <v>0</v>
      </c>
      <c r="M93" s="227">
        <f t="shared" si="56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Formal Employment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7">
        <f t="shared" si="56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Self-employment -- see Data2</v>
      </c>
      <c r="B95" s="75">
        <f t="shared" si="48"/>
        <v>0</v>
      </c>
      <c r="C95" s="75">
        <f t="shared" si="48"/>
        <v>0</v>
      </c>
      <c r="D95" s="24">
        <f t="shared" si="50"/>
        <v>0</v>
      </c>
      <c r="H95" s="24">
        <f t="shared" si="51"/>
        <v>0.7151515151515152</v>
      </c>
      <c r="I95" s="22">
        <f t="shared" si="52"/>
        <v>0</v>
      </c>
      <c r="J95" s="24">
        <f t="shared" si="53"/>
        <v>0</v>
      </c>
      <c r="K95" s="22">
        <f t="shared" si="54"/>
        <v>0</v>
      </c>
      <c r="L95" s="22">
        <f t="shared" si="55"/>
        <v>0</v>
      </c>
      <c r="M95" s="227">
        <f t="shared" si="56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Small business -- see Data2</v>
      </c>
      <c r="B96" s="75">
        <f t="shared" si="48"/>
        <v>0</v>
      </c>
      <c r="C96" s="75">
        <f t="shared" si="48"/>
        <v>0</v>
      </c>
      <c r="D96" s="24">
        <f t="shared" si="50"/>
        <v>0</v>
      </c>
      <c r="H96" s="24">
        <f t="shared" si="51"/>
        <v>0.7151515151515152</v>
      </c>
      <c r="I96" s="22">
        <f t="shared" si="52"/>
        <v>0</v>
      </c>
      <c r="J96" s="24">
        <f t="shared" si="53"/>
        <v>0</v>
      </c>
      <c r="K96" s="22">
        <f t="shared" si="54"/>
        <v>0</v>
      </c>
      <c r="L96" s="22">
        <f t="shared" si="55"/>
        <v>0</v>
      </c>
      <c r="M96" s="227">
        <f t="shared" si="56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Social development -- see Data2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0.7151515151515152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7">
        <f t="shared" si="56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Public works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0.60606060606060608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7">
        <f t="shared" si="56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/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0.60606060606060608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7">
        <f t="shared" si="56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/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0.60606060606060608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7">
        <f t="shared" si="56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/>
      </c>
      <c r="B101" s="75">
        <f t="shared" si="48"/>
        <v>0</v>
      </c>
      <c r="C101" s="75">
        <f t="shared" si="48"/>
        <v>0</v>
      </c>
      <c r="D101" s="24">
        <f t="shared" si="50"/>
        <v>0</v>
      </c>
      <c r="H101" s="24">
        <f t="shared" si="51"/>
        <v>0.60606060606060608</v>
      </c>
      <c r="I101" s="22">
        <f t="shared" si="52"/>
        <v>0</v>
      </c>
      <c r="J101" s="24">
        <f t="shared" si="53"/>
        <v>0</v>
      </c>
      <c r="K101" s="22">
        <f t="shared" si="54"/>
        <v>0</v>
      </c>
      <c r="L101" s="22">
        <f t="shared" si="55"/>
        <v>0</v>
      </c>
      <c r="M101" s="227">
        <f t="shared" si="56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/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0.60606060606060608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7">
        <f t="shared" si="56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/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0.60606060606060608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7">
        <f t="shared" si="56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7">
        <f t="shared" si="56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>(J119)</f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 t="shared" ref="K124:K130" si="58">(B124)</f>
        <v>0.85926647798309541</v>
      </c>
      <c r="L124" s="29">
        <f>IF(SUMPRODUCT($B$124:$B124,$H$124:$H124)&lt;L$119,($B124*$H124),L$119)</f>
        <v>0</v>
      </c>
      <c r="M124" s="57">
        <f t="shared" si="57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si="58"/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58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>(J126)</f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8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7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 t="shared" si="58"/>
        <v>0</v>
      </c>
      <c r="L128" s="22">
        <f>IF(L124=L119,0,(L119-L124)/(B119-B124)*K128)</f>
        <v>0</v>
      </c>
      <c r="M128" s="57">
        <f t="shared" si="57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8"/>
        <v>0</v>
      </c>
      <c r="L129" s="60">
        <f>IF(SUM(L124:L128)&gt;L130,0,L130-SUM(L124:L128))</f>
        <v>0</v>
      </c>
      <c r="M129" s="57">
        <f t="shared" si="5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 t="shared" si="58"/>
        <v>0</v>
      </c>
      <c r="L130" s="22">
        <f>(L119)</f>
        <v>0</v>
      </c>
      <c r="M130" s="57">
        <f t="shared" si="57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6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casuals!A3</f>
        <v>Sources of Food : Very Poor HHs</v>
      </c>
      <c r="C3" s="267"/>
      <c r="D3" s="267"/>
      <c r="E3" s="267"/>
      <c r="F3" s="245"/>
      <c r="G3" s="264" t="str">
        <f>temporary!A3</f>
        <v>Sources of Food : Poor HHs</v>
      </c>
      <c r="H3" s="264"/>
      <c r="I3" s="264"/>
      <c r="J3" s="264"/>
      <c r="K3" s="246"/>
      <c r="L3" s="264" t="str">
        <f>'full-time'!A3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75" workbookViewId="0">
      <selection activeCell="D104" sqref="D10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temporary!A1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casuals!A34</f>
        <v>Income : Very Poor HHs</v>
      </c>
      <c r="D3" s="270"/>
      <c r="E3" s="270"/>
      <c r="F3" s="90"/>
      <c r="G3" s="268" t="str">
        <f>temporary!A34</f>
        <v>Income : Poor HHs</v>
      </c>
      <c r="H3" s="268"/>
      <c r="I3" s="268"/>
      <c r="J3" s="268"/>
      <c r="K3" s="89"/>
      <c r="L3" s="268" t="str">
        <f>'full-time'!A34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139</v>
      </c>
      <c r="E71" s="170"/>
      <c r="F71" s="256" t="s">
        <v>140</v>
      </c>
      <c r="G71" s="256" t="s">
        <v>141</v>
      </c>
      <c r="H71" s="256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6372</v>
      </c>
      <c r="G85" s="109">
        <f>temporary!T20</f>
        <v>6372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32389.576117780685</v>
      </c>
      <c r="G88" s="109">
        <f>temporary!T23</f>
        <v>38101.276117780682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3833.4141491349437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20202.37414913495</v>
      </c>
      <c r="G100" s="239">
        <f t="shared" si="0"/>
        <v>14490.674149134953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casuals!A67</f>
        <v>Expenditure : Very Poor HHs</v>
      </c>
      <c r="C3" s="266"/>
      <c r="D3" s="266"/>
      <c r="E3" s="266"/>
      <c r="F3" s="250"/>
      <c r="G3" s="264" t="str">
        <f>temporary!A67</f>
        <v>Expenditure : Poor HHs</v>
      </c>
      <c r="H3" s="264"/>
      <c r="I3" s="264"/>
      <c r="J3" s="264"/>
      <c r="K3" s="246"/>
      <c r="L3" s="264" t="str">
        <f>'full-time'!A67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2016-08-05T09:25:56Z</dcterms:modified>
  <cp:category/>
</cp:coreProperties>
</file>